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HwPET5jyKE3NJSSlaRJGglcoDWkTtnX/roKFD30E2owmdWWLZyaES0LnI9OxFkgK20/9uUDdEdxz8jWzqZmfQ==" workbookSaltValue="A7TxEZwQ7Yg64u4YHZwb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BF17" i="8" l="1"/>
  <c r="F14" i="7"/>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BG10" i="11"/>
  <c r="BJ16" i="11"/>
  <c r="BL29" i="11"/>
  <c r="BV12" i="16"/>
  <c r="BU18" i="17"/>
  <c r="BU33" i="17" s="1"/>
  <c r="AZ11" i="11"/>
  <c r="BK20" i="11"/>
  <c r="BK23" i="11" s="1"/>
  <c r="Q16" i="17"/>
  <c r="BK10" i="11"/>
  <c r="BK14" i="11" s="1"/>
  <c r="L28" i="2"/>
  <c r="X13" i="16"/>
  <c r="BL19" i="11"/>
  <c r="BJ18" i="11"/>
  <c r="BM17" i="11"/>
  <c r="BF21" i="11"/>
  <c r="BF17" i="11"/>
  <c r="BL12" i="11"/>
  <c r="BK21" i="11"/>
  <c r="BI25" i="11"/>
  <c r="V13" i="11"/>
  <c r="BI19" i="11"/>
  <c r="AP22" i="20"/>
  <c r="R25" i="14"/>
  <c r="BL25" i="1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AP17" i="20"/>
  <c r="BJ22" i="11"/>
  <c r="V11" i="16"/>
  <c r="V25" i="11"/>
  <c r="BF10" i="11"/>
  <c r="Q10" i="11" s="1"/>
  <c r="V11" i="11"/>
  <c r="BM12" i="11"/>
  <c r="V9" i="11"/>
  <c r="AP16" i="20"/>
  <c r="V20" i="11"/>
  <c r="BG19" i="11"/>
  <c r="BW20" i="20"/>
  <c r="BV18" i="16"/>
  <c r="BV16" i="16"/>
  <c r="U10" i="17"/>
  <c r="BU12" i="17"/>
  <c r="S25" i="17"/>
  <c r="P16" i="17"/>
  <c r="P23" i="17" s="1"/>
  <c r="P31" i="17" s="1"/>
  <c r="BF12" i="11"/>
  <c r="BH25" i="16"/>
  <c r="BJ10" i="11"/>
  <c r="BF16" i="11"/>
  <c r="BL22" i="11"/>
  <c r="BI22" i="11"/>
  <c r="L17" i="2"/>
  <c r="AA11" i="16"/>
  <c r="V9"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AL31" i="21" l="1"/>
  <c r="E31" i="2"/>
  <c r="S31" i="16"/>
  <c r="Q25" i="11"/>
  <c r="BJ23" i="11"/>
  <c r="R14" i="21"/>
  <c r="R31" i="21"/>
  <c r="AZ31" i="11"/>
  <c r="AZ14" i="11"/>
  <c r="AZ26"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<sst xmlns="http://schemas.openxmlformats.org/spreadsheetml/2006/main" count="2682" uniqueCount="1193">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</sst>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uJ9W4QMJGeuwqMBTQYKJoGuVty+XMPxQXJPqp02/ipK7/qKvl/QXYCbjMz9ABbl9nfIv22KL5iErqlhU5+BQ==" saltValue="34713hqmIQmK2zox+LhU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22.553691275167782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478</v>
      </c>
      <c r="D17" s="239">
        <f>IF(ISNUMBER(IF(D_I="SI",Datos!I17,Datos!I17+Datos!AC17)),IF(D_I="SI",Datos!I17,Datos!I17+Datos!AC17)," - ")</f>
        <v>478</v>
      </c>
      <c r="E17" s="240">
        <f>IF(ISNUMBER(IF(D_I="SI",Datos!J17,Datos!J17+Datos!AD17)),IF(D_I="SI",Datos!J17,Datos!J17+Datos!AD17)," - ")</f>
        <v>387</v>
      </c>
      <c r="F17" s="240">
        <f>IF(ISNUMBER(IF(D_I="SI",Datos!K17,Datos!K17+Datos!AE17)),IF(D_I="SI",Datos!K17,Datos!K17+Datos!AE17)," - ")</f>
        <v>336</v>
      </c>
      <c r="G17" s="1390" t="str">
        <f>IF(Datos!E17&lt;&gt;"",Datos!E17,Datos!D17)</f>
        <v>04</v>
      </c>
      <c r="H17" s="241">
        <f>IF(ISNUMBER(IF(D_I="SI",Datos!L17,Datos!L17+Datos!AF17)),IF(D_I="SI",Datos!L17,Datos!L17+Datos!AF17)," - ")</f>
        <v>529</v>
      </c>
      <c r="I17" s="1400" t="str">
        <f>IF(ISNUMBER(Datos!AS17/Datos!BM17),Datos!AS17/Datos!BM17," - ")</f>
        <v xml:space="preserve"> - </v>
      </c>
      <c r="J17" s="1401">
        <f>IF(ISNUMBER(Datos!BY17/Datos!CN17),Datos!BY17/Datos!CN17," - ")</f>
        <v>0</v>
      </c>
      <c r="K17" s="244">
        <f t="shared" si="3"/>
        <v>0.10669456066945607</v>
      </c>
      <c r="L17" s="1402">
        <f>IF(ISNUMBER(NºAsuntos!I17/NºAsuntos!G17),(NºAsuntos!I17/NºAsuntos!G17)*11," - ")</f>
        <v>17.31845238095238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v>
      </c>
      <c r="D18" s="239">
        <f>IF(ISNUMBER(IF(D_I="SI",Datos!I18,Datos!I18+Datos!AC18)),IF(D_I="SI",Datos!I18,Datos!I18+Datos!AC18)," - ")</f>
        <v>26</v>
      </c>
      <c r="E18" s="240">
        <f>IF(ISNUMBER(IF(D_I="SI",Datos!J18,Datos!J18+Datos!AD18)),IF(D_I="SI",Datos!J18,Datos!J18+Datos!AD18)," - ")</f>
        <v>31</v>
      </c>
      <c r="F18" s="240">
        <f>IF(ISNUMBER(IF(D_I="SI",Datos!K18,Datos!K18+Datos!AE18)),IF(D_I="SI",Datos!K18,Datos!K18+Datos!AE18)," - ")</f>
        <v>28</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0.11538461538461539</v>
      </c>
      <c r="L18" s="1402">
        <f>IF(ISNUMBER(NºAsuntos!I18/NºAsuntos!G18),(NºAsuntos!I18/NºAsuntos!G18)*11," - ")</f>
        <v>11.392857142857144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504</v>
      </c>
      <c r="D23" s="1407">
        <f>SUBTOTAL(9,D16:D22)</f>
        <v>504</v>
      </c>
      <c r="E23" s="1408">
        <f>SUBTOTAL(9,E16:E22)</f>
        <v>418</v>
      </c>
      <c r="F23" s="1408">
        <f>SUBTOTAL(9,F16:F22)</f>
        <v>364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507</v>
      </c>
      <c r="D31" s="1435">
        <f>SUBTOTAL(9,D9:D30)</f>
        <v>507</v>
      </c>
      <c r="E31" s="1436">
        <f>SUBTOTAL(9,E9:E30)</f>
        <v>419</v>
      </c>
      <c r="F31" s="1436">
        <f>SUBTOTAL(9,F9:F30)</f>
        <v>364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SpIjQ8LgLiSLimRZmzm5htA9jxCd3W2opto/pVpxsNcogXQddYrAg/BZjPZwmRJtpZ9G15UqET1esmFJ03Qg==" saltValue="z0JZRZqsWxjDMaBiHRcF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UpPEbLuADTkul9aLxZyGnapThGvHs1I/rSAO7tz6zxKWNUQbAOsWAxfwq3rbWwWRA3PyhJBfvX09D1XWsaJ5Q==" saltValue="A6jg+xmpHcQJuOtKG7el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0</v>
      </c>
      <c r="L10" s="194">
        <v>4</v>
      </c>
      <c r="M10" s="194">
        <v>0</v>
      </c>
      <c r="N10" s="194">
        <v>0</v>
      </c>
      <c r="O10" s="194">
        <v>0</v>
      </c>
      <c r="P10" s="194">
        <v>0</v>
      </c>
      <c r="Q10" s="194">
        <v>0</v>
      </c>
      <c r="R10" s="194">
        <v>0</v>
      </c>
      <c r="S10" s="194">
        <v>4</v>
      </c>
      <c r="T10" s="194">
        <v>0</v>
      </c>
      <c r="U10" s="194">
        <v>1</v>
      </c>
      <c r="V10" s="194">
        <v>3</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0</v>
      </c>
      <c r="BA10" s="139">
        <f t="shared" si="0"/>
        <v>1</v>
      </c>
      <c r="BB10" s="139">
        <f t="shared" si="0"/>
        <v>3</v>
      </c>
      <c r="BC10" s="135">
        <f t="shared" si="0"/>
        <v>0</v>
      </c>
      <c r="BD10" s="136" t="str">
        <f>IF(ISNUMBER(BA10/AZ10),BA10/AZ10," - ")</f>
        <v xml:space="preserve"> - </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622</v>
      </c>
      <c r="J12" s="196">
        <v>253</v>
      </c>
      <c r="K12" s="196">
        <v>288</v>
      </c>
      <c r="L12" s="196">
        <v>587</v>
      </c>
      <c r="M12" s="196">
        <v>73</v>
      </c>
      <c r="N12" s="196">
        <v>43</v>
      </c>
      <c r="O12" s="194">
        <v>88</v>
      </c>
      <c r="P12" s="196">
        <v>108</v>
      </c>
      <c r="Q12" s="196">
        <v>145</v>
      </c>
      <c r="R12" s="196">
        <v>1082</v>
      </c>
      <c r="S12" s="196">
        <v>811</v>
      </c>
      <c r="T12" s="196">
        <v>305</v>
      </c>
      <c r="U12" s="196">
        <v>373</v>
      </c>
      <c r="V12" s="196">
        <v>743</v>
      </c>
      <c r="W12" s="196">
        <v>86</v>
      </c>
      <c r="X12" s="202">
        <v>147</v>
      </c>
      <c r="Y12" s="204">
        <v>25</v>
      </c>
      <c r="Z12" s="194">
        <v>9</v>
      </c>
      <c r="AA12" s="194">
        <v>10</v>
      </c>
      <c r="AB12" s="194">
        <v>24</v>
      </c>
      <c r="AC12" s="196">
        <v>0</v>
      </c>
      <c r="AD12" s="196">
        <v>0</v>
      </c>
      <c r="AE12" s="196">
        <v>0</v>
      </c>
      <c r="AF12" s="202">
        <v>0</v>
      </c>
      <c r="AG12" s="215">
        <v>19</v>
      </c>
      <c r="AH12" s="196">
        <v>31</v>
      </c>
      <c r="AI12" s="196">
        <v>35</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830</v>
      </c>
      <c r="AZ12" s="137">
        <f t="shared" si="1"/>
        <v>336</v>
      </c>
      <c r="BA12" s="137">
        <f t="shared" si="1"/>
        <v>408</v>
      </c>
      <c r="BB12" s="137">
        <f t="shared" si="1"/>
        <v>758</v>
      </c>
      <c r="BC12" s="135">
        <f>IF(ISNUMBER(X12),X12," - ")</f>
        <v>147</v>
      </c>
      <c r="BD12" s="136">
        <f t="shared" si="2"/>
        <v>1.2142857142857142</v>
      </c>
      <c r="BE12" s="137">
        <f t="shared" si="3"/>
        <v>1.857843137254902</v>
      </c>
      <c r="BF12" s="137">
        <f t="shared" si="4"/>
        <v>0.36029411764705882</v>
      </c>
      <c r="BG12" s="209">
        <f t="shared" si="5"/>
        <v>2.857843137254902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625</v>
      </c>
      <c r="J14" s="197">
        <f t="shared" si="7"/>
        <v>254</v>
      </c>
      <c r="K14" s="197">
        <f t="shared" si="7"/>
        <v>288</v>
      </c>
      <c r="L14" s="197">
        <f t="shared" si="7"/>
        <v>591</v>
      </c>
      <c r="M14" s="197">
        <f t="shared" si="7"/>
        <v>73</v>
      </c>
      <c r="N14" s="197">
        <f t="shared" si="7"/>
        <v>43</v>
      </c>
      <c r="O14" s="197">
        <f t="shared" si="7"/>
        <v>88</v>
      </c>
      <c r="P14" s="197">
        <f t="shared" si="7"/>
        <v>108</v>
      </c>
      <c r="Q14" s="197">
        <f t="shared" si="7"/>
        <v>145</v>
      </c>
      <c r="R14" s="197">
        <f t="shared" si="7"/>
        <v>1082</v>
      </c>
      <c r="S14" s="197">
        <f t="shared" si="7"/>
        <v>815</v>
      </c>
      <c r="T14" s="197">
        <f t="shared" si="7"/>
        <v>305</v>
      </c>
      <c r="U14" s="197">
        <f t="shared" si="7"/>
        <v>374</v>
      </c>
      <c r="V14" s="197">
        <f t="shared" si="7"/>
        <v>746</v>
      </c>
      <c r="W14" s="197">
        <f t="shared" si="7"/>
        <v>86</v>
      </c>
      <c r="X14" s="197">
        <f t="shared" si="7"/>
        <v>148</v>
      </c>
      <c r="Y14" s="197">
        <f t="shared" si="7"/>
        <v>25</v>
      </c>
      <c r="Z14" s="197">
        <f t="shared" si="7"/>
        <v>9</v>
      </c>
      <c r="AA14" s="197">
        <f t="shared" si="7"/>
        <v>10</v>
      </c>
      <c r="AB14" s="197">
        <f t="shared" si="7"/>
        <v>24</v>
      </c>
      <c r="AC14" s="197">
        <f t="shared" si="7"/>
        <v>0</v>
      </c>
      <c r="AD14" s="197">
        <f t="shared" si="7"/>
        <v>0</v>
      </c>
      <c r="AE14" s="197">
        <f t="shared" si="7"/>
        <v>0</v>
      </c>
      <c r="AF14" s="197">
        <f>SUBTOTAL(9,AF9:AF13)</f>
        <v>0</v>
      </c>
      <c r="AG14" s="197">
        <f t="shared" ref="AG14:AT14" si="8">SUBTOTAL(9,AG8:AG13)</f>
        <v>19</v>
      </c>
      <c r="AH14" s="197">
        <f t="shared" si="8"/>
        <v>31</v>
      </c>
      <c r="AI14" s="197">
        <f t="shared" si="8"/>
        <v>35</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834</v>
      </c>
      <c r="AZ14" s="197">
        <f>SUBTOTAL(9,AZ8:AZ13)</f>
        <v>336</v>
      </c>
      <c r="BA14" s="197">
        <f>SUBTOTAL(9,BA8:BA13)</f>
        <v>409</v>
      </c>
      <c r="BB14" s="197">
        <f>SUBTOTAL(9,BB8:BB13)</f>
        <v>761</v>
      </c>
      <c r="BC14" s="197">
        <f>SUBTOTAL(9,BC8:BC13)</f>
        <v>147</v>
      </c>
      <c r="BD14" s="219">
        <f>IF(ISNUMBER(BA14/AZ14),BA14/AZ14," - ")</f>
        <v>1.2172619047619047</v>
      </c>
      <c r="BE14" s="220">
        <f>IF(ISNUMBER(BB14/BA14),BB14/BA14, " - ")</f>
        <v>1.8606356968215159</v>
      </c>
      <c r="BF14" s="220">
        <f>IF(ISNUMBER(BC14/BA14),BC14/BA14, " - ")</f>
        <v>0.35941320293398532</v>
      </c>
      <c r="BG14" s="221">
        <f>IF(ISNUMBER((AY14+AZ14)/BA14),(AY14+AZ14)/BA14," - ")</f>
        <v>2.8606356968215159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478</v>
      </c>
      <c r="J17" s="196">
        <v>387</v>
      </c>
      <c r="K17" s="196">
        <v>336</v>
      </c>
      <c r="L17" s="196">
        <v>529</v>
      </c>
      <c r="M17" s="196">
        <v>41</v>
      </c>
      <c r="N17" s="196">
        <v>193</v>
      </c>
      <c r="O17" s="194">
        <v>0</v>
      </c>
      <c r="P17" s="196">
        <v>0</v>
      </c>
      <c r="Q17" s="196">
        <v>0</v>
      </c>
      <c r="R17" s="196">
        <v>70</v>
      </c>
      <c r="S17" s="196">
        <v>444</v>
      </c>
      <c r="T17" s="196">
        <v>372</v>
      </c>
      <c r="U17" s="196">
        <v>320</v>
      </c>
      <c r="V17" s="196">
        <v>496</v>
      </c>
      <c r="W17" s="196">
        <v>63</v>
      </c>
      <c r="X17" s="202">
        <v>157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444</v>
      </c>
      <c r="AZ17" s="137">
        <f t="shared" si="10"/>
        <v>372</v>
      </c>
      <c r="BA17" s="137">
        <f t="shared" si="10"/>
        <v>320</v>
      </c>
      <c r="BB17" s="137">
        <f t="shared" si="10"/>
        <v>496</v>
      </c>
      <c r="BC17" s="135">
        <f>IF(ISNUMBER(W17),W17," - ")</f>
        <v>63</v>
      </c>
      <c r="BD17" s="136">
        <f t="shared" ref="BD17:BD22" si="12">IF(ISNUMBER(BA17/AZ17),BA17/AZ17," - ")</f>
        <v>0.86021505376344087</v>
      </c>
      <c r="BE17" s="137">
        <f t="shared" ref="BE17:BE22" si="13">IF(ISNUMBER(BB17/BA17),BB17/BA17, " - ")</f>
        <v>1.55</v>
      </c>
      <c r="BF17" s="137">
        <f t="shared" ref="BF17:BF22" si="14">IF(ISNUMBER(BC17/BA17),BC17/BA17, " - ")</f>
        <v>0.19687499999999999</v>
      </c>
      <c r="BG17" s="209">
        <f t="shared" si="11"/>
        <v>2.5499999999999998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31</v>
      </c>
      <c r="K18" s="196">
        <v>28</v>
      </c>
      <c r="L18" s="196">
        <v>29</v>
      </c>
      <c r="M18" s="196">
        <v>1</v>
      </c>
      <c r="N18" s="196">
        <v>15</v>
      </c>
      <c r="O18" s="196">
        <v>0</v>
      </c>
      <c r="P18" s="196">
        <v>0</v>
      </c>
      <c r="Q18" s="196">
        <v>0</v>
      </c>
      <c r="R18" s="196">
        <v>0</v>
      </c>
      <c r="S18" s="196">
        <v>17</v>
      </c>
      <c r="T18" s="196">
        <v>27</v>
      </c>
      <c r="U18" s="196">
        <v>33</v>
      </c>
      <c r="V18" s="196">
        <v>11</v>
      </c>
      <c r="W18" s="196">
        <v>0</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27</v>
      </c>
      <c r="BA18" s="139">
        <f t="shared" si="15"/>
        <v>33</v>
      </c>
      <c r="BB18" s="139">
        <f t="shared" si="15"/>
        <v>11</v>
      </c>
      <c r="BC18" s="135">
        <f>IF(ISNUMBER(W18),W18," - ")</f>
        <v>0</v>
      </c>
      <c r="BD18" s="136">
        <f>IF(ISNUMBER(BA18/AZ18),BA18/AZ18," - ")</f>
        <v>1.2222222222222223</v>
      </c>
      <c r="BE18" s="137">
        <f>IF(ISNUMBER(BB18/BA18),BB18/BA18, " - ")</f>
        <v>0.33333333333333331</v>
      </c>
      <c r="BF18" s="137">
        <f>IF(ISNUMBER(BC18/BA18),BC18/BA18, " - ")</f>
        <v>0</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504</v>
      </c>
      <c r="J23" s="197">
        <f t="shared" si="21"/>
        <v>418</v>
      </c>
      <c r="K23" s="197">
        <f t="shared" si="21"/>
        <v>364</v>
      </c>
      <c r="L23" s="197">
        <f t="shared" si="21"/>
        <v>558</v>
      </c>
      <c r="M23" s="197">
        <f t="shared" si="21"/>
        <v>42</v>
      </c>
      <c r="N23" s="197">
        <f t="shared" si="21"/>
        <v>208</v>
      </c>
      <c r="O23" s="197">
        <f t="shared" si="21"/>
        <v>0</v>
      </c>
      <c r="P23" s="197">
        <f t="shared" si="21"/>
        <v>0</v>
      </c>
      <c r="Q23" s="197">
        <f t="shared" si="21"/>
        <v>0</v>
      </c>
      <c r="R23" s="197">
        <f t="shared" si="21"/>
        <v>70</v>
      </c>
      <c r="S23" s="197">
        <f t="shared" si="21"/>
        <v>461</v>
      </c>
      <c r="T23" s="197">
        <f t="shared" si="21"/>
        <v>399</v>
      </c>
      <c r="U23" s="197">
        <f t="shared" si="21"/>
        <v>353</v>
      </c>
      <c r="V23" s="197">
        <f t="shared" si="21"/>
        <v>507</v>
      </c>
      <c r="W23" s="197">
        <f t="shared" si="21"/>
        <v>63</v>
      </c>
      <c r="X23" s="197">
        <f t="shared" si="21"/>
        <v>181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461</v>
      </c>
      <c r="AZ23" s="197">
        <f>SUBTOTAL(9,AZ15:AZ22)</f>
        <v>399</v>
      </c>
      <c r="BA23" s="197">
        <f>SUBTOTAL(9,BA15:BA22)</f>
        <v>353</v>
      </c>
      <c r="BB23" s="197">
        <f>SUBTOTAL(9,BB15:BB22)</f>
        <v>507</v>
      </c>
      <c r="BC23" s="197">
        <f>SUBTOTAL(9,BC15:BC22)</f>
        <v>63</v>
      </c>
      <c r="BD23" s="219">
        <f>IF(ISNUMBER(BA23/AZ23),BA23/AZ23," - ")</f>
        <v>0.88471177944862156</v>
      </c>
      <c r="BE23" s="220">
        <f>IF(ISNUMBER(BB23/BA23),BB23/BA23, " - ")</f>
        <v>1.4362606232294617</v>
      </c>
      <c r="BF23" s="220">
        <f>IF(ISNUMBER(BC23/BA23),BC23/BA23, " - ")</f>
        <v>0.17847025495750707</v>
      </c>
      <c r="BG23" s="221">
        <f>IF(ISNUMBER((AY23+AZ23)/BA23),(AY23+AZ23)/BA23," - ")</f>
        <v>2.4362606232294617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1129</v>
      </c>
      <c r="J31" s="144">
        <f t="shared" si="36"/>
        <v>672</v>
      </c>
      <c r="K31" s="144">
        <f t="shared" si="36"/>
        <v>652</v>
      </c>
      <c r="L31" s="144">
        <f t="shared" si="36"/>
        <v>1149</v>
      </c>
      <c r="M31" s="144">
        <f t="shared" si="36"/>
        <v>115</v>
      </c>
      <c r="N31" s="144">
        <f t="shared" si="36"/>
        <v>251</v>
      </c>
      <c r="O31" s="144">
        <f t="shared" si="36"/>
        <v>88</v>
      </c>
      <c r="P31" s="144">
        <f t="shared" si="36"/>
        <v>108</v>
      </c>
      <c r="Q31" s="144">
        <f t="shared" si="36"/>
        <v>145</v>
      </c>
      <c r="R31" s="144">
        <f t="shared" si="36"/>
        <v>1152</v>
      </c>
      <c r="S31" s="144">
        <f t="shared" si="36"/>
        <v>1276</v>
      </c>
      <c r="T31" s="144">
        <f t="shared" si="36"/>
        <v>704</v>
      </c>
      <c r="U31" s="144">
        <f t="shared" si="36"/>
        <v>727</v>
      </c>
      <c r="V31" s="144">
        <f t="shared" si="36"/>
        <v>1253</v>
      </c>
      <c r="W31" s="144">
        <f t="shared" si="36"/>
        <v>149</v>
      </c>
      <c r="X31" s="144">
        <f t="shared" si="36"/>
        <v>329</v>
      </c>
      <c r="Y31" s="144">
        <f t="shared" si="36"/>
        <v>25</v>
      </c>
      <c r="Z31" s="144">
        <f t="shared" si="36"/>
        <v>9</v>
      </c>
      <c r="AA31" s="144">
        <f t="shared" si="36"/>
        <v>10</v>
      </c>
      <c r="AB31" s="144">
        <f t="shared" si="36"/>
        <v>24</v>
      </c>
      <c r="AC31" s="144">
        <f t="shared" si="36"/>
        <v>0</v>
      </c>
      <c r="AD31" s="144">
        <f t="shared" si="36"/>
        <v>0</v>
      </c>
      <c r="AE31" s="144">
        <f t="shared" si="36"/>
        <v>0</v>
      </c>
      <c r="AF31" s="144">
        <f t="shared" si="36"/>
        <v>0</v>
      </c>
      <c r="AG31" s="144">
        <f t="shared" si="36"/>
        <v>19</v>
      </c>
      <c r="AH31" s="144">
        <f t="shared" si="36"/>
        <v>31</v>
      </c>
      <c r="AI31" s="144">
        <f t="shared" si="36"/>
        <v>35</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1295</v>
      </c>
      <c r="AZ31" s="144">
        <f>SUBTOTAL(9,AZ9:AZ30)</f>
        <v>735</v>
      </c>
      <c r="BA31" s="144">
        <f>SUBTOTAL(9,BA9:BA30)</f>
        <v>762</v>
      </c>
      <c r="BB31" s="144">
        <f>SUBTOTAL(9,BB9:BB30)</f>
        <v>1268</v>
      </c>
      <c r="BC31" s="145">
        <f>SUBTOTAL(9,BC9:BC30)</f>
        <v>210</v>
      </c>
      <c r="BD31" s="227">
        <f>IF(ISNUMBER(BA31/AZ31),BA31/AZ31," - ")</f>
        <v>1.036734693877551</v>
      </c>
      <c r="BE31" s="224">
        <f>IF(ISNUMBER(BB31/BA31),BB31/BA31, " - ")</f>
        <v>1.6640419947506562</v>
      </c>
      <c r="BF31" s="224">
        <f>IF(ISNUMBER(BC31/BA31),BC31/BA31, " - ")</f>
        <v>0.27559055118110237</v>
      </c>
      <c r="BG31" s="145">
        <f>IF(ISNUMBER((AY31+AZ31)/BA31),(AY31+AZ31)/BA31," - ")</f>
        <v>2.6640419947506562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Iyjh4674H5YGUDd/Z2M9hI893mjPtkoGZ6WZk3Bef/dbhg7pvGnKzxCY71E8dZdST7KsQ1e3C++BX33NZQFaQ==" saltValue="51yHau+1ZunIIUayWXEn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13SbT7K+PBWmRxdaVtWpWe1OphgHMRrEGhlFZoLMRkSebUNFtFQtumJv0B6TXamA5vgIABVWe4vMBhBCK4pCA==" saltValue="LqsTvEduFu4VXEIxtyXE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ARACENA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108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1082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73</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1.1374045801526718</v>
      </c>
      <c r="BH12" s="764">
        <f>IF(ISNUMBER(((IF(J_V="SI",Datos!L12/Datos!K12,(Datos!L12+Datos!AB12)/(Datos!K12+Datos!AA12)))*11)/factor_trimestre),((IF(J_V="SI",Datos!L12/Datos!K12,(Datos!L12+Datos!AB12)/(Datos!K12+Datos!AA12)))*11)/factor_trimestre," - ")</f>
        <v>6.1510067114093951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-3.3065236818588022E-2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108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145</v>
      </c>
      <c r="AD14" s="1198">
        <f t="shared" si="2"/>
        <v>0</v>
      </c>
      <c r="AE14" s="1198">
        <f t="shared" si="2"/>
        <v>0</v>
      </c>
      <c r="AF14" s="1198">
        <f t="shared" si="2"/>
        <v>4</v>
      </c>
      <c r="AG14" s="1198">
        <f t="shared" si="2"/>
        <v>0</v>
      </c>
      <c r="AH14" s="1198">
        <f t="shared" si="2"/>
        <v>24</v>
      </c>
      <c r="AI14" s="1198">
        <f t="shared" si="2"/>
        <v>0</v>
      </c>
      <c r="AJ14" s="1198">
        <f t="shared" si="2"/>
        <v>0</v>
      </c>
      <c r="AK14" s="1198">
        <f t="shared" si="2"/>
        <v>0</v>
      </c>
      <c r="AL14" s="1198">
        <f t="shared" si="2"/>
        <v>0</v>
      </c>
      <c r="AM14" s="1198">
        <f t="shared" si="2"/>
        <v>1082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v>
      </c>
      <c r="BD14" s="1198">
        <f t="shared" si="2"/>
        <v>43</v>
      </c>
      <c r="BE14" s="1198">
        <f t="shared" si="2"/>
        <v>0</v>
      </c>
      <c r="BF14" s="1198">
        <f t="shared" si="2"/>
        <v>0</v>
      </c>
      <c r="BG14" s="1198">
        <f>IF(ISNUMBER(Datos!K14/Datos!J14),Datos!K14/Datos!J14," - ")</f>
        <v>1.1338582677165354</v>
      </c>
      <c r="BH14" s="1202">
        <f>IF(ISNUMBER(((Datos!L14/Datos!K14)*11)/factor_trimestre),((Datos!L14/Datos!K14)*11)/factor_trimestre," - ")</f>
        <v>6.1562500000000009</v>
      </c>
      <c r="BI14" s="1198">
        <f>IF(ISNUMBER('Resol  Asuntos'!D14/NºAsuntos!G14),'Resol  Asuntos'!D14/NºAsuntos!G14," - ")</f>
        <v>0.24496644295302014</v>
      </c>
      <c r="BJ14" s="1198" t="str">
        <f>IF(ISNUMBER(Datos!CI14/Datos!CJ14),Datos!CI14/Datos!CJ14," - ")</f>
        <v xml:space="preserve"> - </v>
      </c>
      <c r="BK14" s="1198">
        <f>SUBTOTAL(9,BK8:BK13)</f>
        <v>0</v>
      </c>
      <c r="BL14" s="1198">
        <f>IF(ISNUMBER((I14-AB14+L14)/(F14)),(I14-AB14+L14)/(F14)," - ")</f>
        <v>0</v>
      </c>
      <c r="BM14" s="1203">
        <f>SUBTOTAL(9,BM9:BM13)</f>
        <v>-3.3065236818588022E-2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478</v>
      </c>
      <c r="G17" s="743">
        <f>IF(ISNUMBER(IF(D_I="SI",Datos!I17,Datos!I17+Datos!AC17)),IF(D_I="SI",Datos!I17,Datos!I17+Datos!AC17)," - ")</f>
        <v>478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336</v>
      </c>
      <c r="AC17" s="240">
        <f>IF(ISNUMBER(Datos!Q17),Datos!Q17," - ")</f>
        <v>0</v>
      </c>
      <c r="AD17" s="374"/>
      <c r="AE17" s="562"/>
      <c r="AF17" s="741">
        <f>IF(ISNUMBER(IF(D_I="SI",Datos!L17,Datos!L17+Datos!AF17)),IF(D_I="SI",Datos!L17,Datos!L17+Datos!AF17)," - ")</f>
        <v>529</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41</v>
      </c>
      <c r="BD17" s="243">
        <f>IF(ISNUMBER(Datos!N17),Datos!N17," - ")</f>
        <v>193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0.86821705426356588</v>
      </c>
      <c r="BH17" s="764">
        <f>IF(ISNUMBER(((IF(D_I="SI",Datos!L17/Datos!K17,(Datos!L17+Datos!AF17)/(Datos!K17+Datos!AE17)))*11)/factor_trimestre),((IF(D_I="SI",Datos!L17/Datos!K17,(Datos!L17+Datos!AF17)/(Datos!K17+Datos!AE17)))*11)/factor_trimestre," - ")</f>
        <v>4.7232142857142856</v>
      </c>
      <c r="BI17" s="266">
        <f>IF(ISNUMBER('Resol  Asuntos'!D17/NºAsuntos!G17),'Resol  Asuntos'!D17/NºAsuntos!G17," - ")</f>
        <v>0.12202380952380952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29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0.90322580645161288</v>
      </c>
      <c r="BH18" s="764">
        <f>IF(ISNUMBER(((IF(D_I="SI",Datos!L18/Datos!K18,(Datos!L18+Datos!AF18)/(Datos!K18+Datos!AE18)))*11)/factor_trimestre),((IF(D_I="SI",Datos!L18/Datos!K18,(Datos!L18+Datos!AF18)/(Datos!K18+Datos!AE18)))*11)/factor_trimestre," - ")</f>
        <v>3.1071428571428577</v>
      </c>
      <c r="BI18" s="763">
        <f>IF(ISNUMBER('Resol  Asuntos'!D18/NºAsuntos!G18),'Resol  Asuntos'!D18/NºAsuntos!G18," - ")</f>
        <v>3.5714285714285712E-2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478</v>
      </c>
      <c r="G23" s="1197">
        <f>SUBTOTAL(9,G16:G22)</f>
        <v>504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364</v>
      </c>
      <c r="AC23" s="1198">
        <f t="shared" si="5"/>
        <v>0</v>
      </c>
      <c r="AD23" s="1198">
        <f t="shared" si="5"/>
        <v>0</v>
      </c>
      <c r="AE23" s="1198">
        <f t="shared" si="5"/>
        <v>0</v>
      </c>
      <c r="AF23" s="1198">
        <f t="shared" si="5"/>
        <v>558</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v>
      </c>
      <c r="BD23" s="1198">
        <f t="shared" si="5"/>
        <v>208</v>
      </c>
      <c r="BE23" s="1198">
        <f t="shared" si="5"/>
        <v>0</v>
      </c>
      <c r="BF23" s="1198">
        <f t="shared" si="5"/>
        <v>0</v>
      </c>
      <c r="BG23" s="1198">
        <f>IF(ISNUMBER(Datos!K23/Datos!J23),Datos!K23/Datos!J23," - ")</f>
        <v>0.87081339712918659</v>
      </c>
      <c r="BH23" s="1202">
        <f>IF(ISNUMBER(((Datos!L23/Datos!K23)*11)/factor_trimestre),((Datos!L23/Datos!K23)*11)/factor_trimestre," - ")</f>
        <v>4.5989010989010994</v>
      </c>
      <c r="BI23" s="1198">
        <f>SUBTOTAL(9,BI16:BI22)</f>
        <v>0.15773809523809523</v>
      </c>
      <c r="BJ23" s="1198">
        <f>SUBTOTAL(9,BJ16:BJ22)</f>
        <v>0</v>
      </c>
      <c r="BK23" s="1198">
        <f>SUBTOTAL(9,BK16:BK22)</f>
        <v>0</v>
      </c>
      <c r="BL23" s="1198">
        <f>IF(ISNUMBER((I23-AB23+L23)/(F23)),(I23-AB23+L23)/(F23)," - ")</f>
        <v>-0.7615062761506276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481</v>
      </c>
      <c r="G31" s="1117">
        <f t="shared" si="18"/>
        <v>507</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108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364</v>
      </c>
      <c r="AC31" s="1118">
        <f t="shared" si="19"/>
        <v>145</v>
      </c>
      <c r="AD31" s="1118">
        <f t="shared" si="19"/>
        <v>0</v>
      </c>
      <c r="AE31" s="1118">
        <f t="shared" si="19"/>
        <v>0</v>
      </c>
      <c r="AF31" s="1125">
        <f t="shared" si="19"/>
        <v>562</v>
      </c>
      <c r="AG31" s="1125">
        <f t="shared" si="19"/>
        <v>0</v>
      </c>
      <c r="AH31" s="1125">
        <f t="shared" si="19"/>
        <v>24</v>
      </c>
      <c r="AI31" s="1125">
        <f t="shared" si="19"/>
        <v>0</v>
      </c>
      <c r="AJ31" s="1118">
        <f t="shared" si="19"/>
        <v>0</v>
      </c>
      <c r="AK31" s="1125">
        <f t="shared" si="19"/>
        <v>0</v>
      </c>
      <c r="AL31" s="1125">
        <f t="shared" si="19"/>
        <v>0</v>
      </c>
      <c r="AM31" s="1125">
        <f t="shared" si="19"/>
        <v>1152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115</v>
      </c>
      <c r="BD31" s="1117">
        <f t="shared" si="19"/>
        <v>251</v>
      </c>
      <c r="BE31" s="1117">
        <f t="shared" si="19"/>
        <v>0</v>
      </c>
      <c r="BF31" s="1127">
        <f t="shared" si="19"/>
        <v>0</v>
      </c>
      <c r="BG31" s="1223">
        <f>IF(ISNUMBER(Datos!K31/Datos!J31),Datos!K31/Datos!J31," - ")</f>
        <v>0.97023809523809523</v>
      </c>
      <c r="BH31" s="1223">
        <f>IF(ISNUMBER(((Datos!L31/Datos!K31)*11)/factor_trimestre),((Datos!L31/Datos!K31)*11)/factor_trimestre," - ")</f>
        <v>5.2868098159509209</v>
      </c>
      <c r="BI31" s="1103">
        <f>IF(ISNUMBER(Datos!J31/Datos!I31),Datos!J31/Datos!I31," - ")</f>
        <v>0.59521700620017715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-0.7567567567567568</v>
      </c>
      <c r="BM31" s="1188">
        <f>IF(ISNUMBER((Datos!P31-Datos!Q31+R31)/(Datos!R31-Datos!P31+Datos!Q31-R31)),(Datos!P31-Datos!Q31+R31)/(Datos!R31-Datos!P31+Datos!Q31-R31)," - ")</f>
        <v>-3.1118587047939444E-2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246.06719949368846</v>
      </c>
      <c r="G33" s="674">
        <f>IF(ISNUMBER(STDEV(G8:G30)),STDEV(G8:G30),"-")</f>
        <v>236.751929644673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168.55464000337298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32.71412975633443</v>
      </c>
      <c r="BD33" s="673"/>
      <c r="BE33" s="673">
        <f>IF(ISNUMBER(STDEV(BE8:BE30)),STDEV(BE8:BE30),"-")</f>
        <v>0</v>
      </c>
      <c r="BF33" s="678">
        <f>IF(ISNUMBER(STDEV(BF8:BF30)),STDEV(BF8:BF30),"-")</f>
        <v>0</v>
      </c>
      <c r="BG33" s="1052">
        <f>IF(ISNUMBER(STDEV(BG8:BG30)),STDEV(BG8:BG30),"-")</f>
        <v>0.42035201912047776</v>
      </c>
      <c r="BH33" s="1058">
        <f>IF(ISNUMBER(STDEV(BH8:BH30)),STDEV(BH8:BH30),"-")</f>
        <v>1.2716371791502994</v>
      </c>
      <c r="BI33" s="273">
        <f>IF(ISNUMBER(STDEV(BI8:BI30)),STDEV(BI8:BI30),"-")</f>
        <v>8.666256172826331E-2</v>
      </c>
      <c r="BJ33" s="244" t="str">
        <f>IF(ISNUMBER(BL33/BM33),BL33/BM33," - ")</f>
        <v xml:space="preserve"> - </v>
      </c>
      <c r="BK33" s="709"/>
      <c r="BL33" s="681">
        <f>IF(ISNUMBER(STDEV(BL8:BL30)),STDEV(BL8:BL30),"-")</f>
        <v>0.53846625178222451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zObI4/cknDj2u/9N6Nz/KQqsCbR0Iujup3/Tli6lqe0vEN6SWND35tb/KHjDYHlQ+0KM0YDNcCVeVXmv5M+YQ==" saltValue="mOiScJFXqRhrW+s912DK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ARACENA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145</v>
      </c>
      <c r="AA12" s="551" t="str">
        <f>IF(ISNUMBER(IF(J_V="SI",Datos!L12,Datos!L12+Datos!AB12)-IF(Monitorios="SI",Datos!CD12,0)),
                          IF(J_V="SI",Datos!L12,Datos!L12+Datos!AB12)-IF(Monitorios="SI",Datos!CD12,0),
                          " - ")</f>
        <v xml:space="preserve"> - </v>
      </c>
      <c r="AB12" s="549"/>
      <c r="AC12" s="549"/>
      <c r="AD12" s="563"/>
      <c r="AE12" s="563">
        <f>IF(ISNUMBER(Datos!R12),Datos!R12," - ")</f>
        <v>1082</v>
      </c>
      <c r="AF12" s="693" t="str">
        <f>IF(ISNUMBER(Datos!BV12),Datos!BV12," - ")</f>
        <v xml:space="preserve"> - </v>
      </c>
      <c r="AG12" s="552" t="str">
        <f>IF(ISNUMBER(Datos!DV12),Datos!DV12," - ")</f>
        <v xml:space="preserve"> - </v>
      </c>
      <c r="AH12" s="553"/>
      <c r="AI12" s="554"/>
      <c r="AJ12" s="552">
        <f>IF(ISNUMBER(Datos!M12),Datos!M12," - ")</f>
        <v>73</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6.1510067114093951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-3.3065236818588022E-2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145</v>
      </c>
      <c r="AA14" s="1199">
        <f t="shared" si="3"/>
        <v>4</v>
      </c>
      <c r="AB14" s="1199">
        <f t="shared" si="3"/>
        <v>0</v>
      </c>
      <c r="AC14" s="1199">
        <f t="shared" si="3"/>
        <v>0</v>
      </c>
      <c r="AD14" s="1199">
        <f t="shared" si="3"/>
        <v>0</v>
      </c>
      <c r="AE14" s="1199">
        <f t="shared" si="3"/>
        <v>1082</v>
      </c>
      <c r="AF14" s="1211">
        <f t="shared" si="3"/>
        <v>0</v>
      </c>
      <c r="AG14" s="1211">
        <f t="shared" si="3"/>
        <v>0</v>
      </c>
      <c r="AH14" s="1211">
        <f t="shared" si="3"/>
        <v>0</v>
      </c>
      <c r="AI14" s="1211">
        <f t="shared" si="3"/>
        <v>0</v>
      </c>
      <c r="AJ14" s="1211">
        <f t="shared" si="3"/>
        <v>73</v>
      </c>
      <c r="AK14" s="1211">
        <f t="shared" si="3"/>
        <v>43</v>
      </c>
      <c r="AL14" s="1211">
        <f t="shared" si="3"/>
        <v>0</v>
      </c>
      <c r="AM14" s="1211">
        <f t="shared" si="3"/>
        <v>0</v>
      </c>
      <c r="AN14" s="1211">
        <f t="shared" si="3"/>
        <v>0</v>
      </c>
      <c r="AO14" s="1203">
        <f>IF(ISNUMBER(((NºAsuntos!I14/NºAsuntos!G14)*11)/factor_trimestre),((NºAsuntos!I14/NºAsuntos!G14)*11)/factor_trimestre," - ")</f>
        <v>6.1912751677852356</v>
      </c>
      <c r="AP14" s="1213" t="str">
        <f>IF(ISNUMBER(Datos!CI14/Datos!CJ14),Datos!CI14/Datos!CJ14," - ")</f>
        <v xml:space="preserve"> - </v>
      </c>
      <c r="AQ14" s="1236">
        <f t="shared" ref="AQ14:AV14" si="4">SUBTOTAL(9,AQ9:AQ13)</f>
        <v>0</v>
      </c>
      <c r="AR14" s="1236">
        <f t="shared" si="4"/>
        <v>-3.3065236818588022E-2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478</v>
      </c>
      <c r="G17" s="552">
        <f>IF(ISNUMBER(IF(D_I="SI",Datos!I17,Datos!I17+Datos!AC17)),IF(D_I="SI",Datos!I17,Datos!I17+Datos!AC17)," - ")</f>
        <v>478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336</v>
      </c>
      <c r="Z17" s="805">
        <f>IF(ISNUMBER(Datos!Q17),Datos!Q17," - ")</f>
        <v>0</v>
      </c>
      <c r="AA17" s="551">
        <f>IF(ISNUMBER(IF(D_I="SI",Datos!L17,Datos!L17+Datos!AF17)),IF(D_I="SI",Datos!L17,Datos!L17+Datos!AF17)," - ")</f>
        <v>529</v>
      </c>
      <c r="AB17" s="549"/>
      <c r="AC17" s="549"/>
      <c r="AD17" s="563"/>
      <c r="AE17" s="563">
        <f>IF(ISNUMBER(Datos!R17),Datos!R17," - ")</f>
        <v>70</v>
      </c>
      <c r="AF17" s="693" t="str">
        <f>IF(ISNUMBER(Datos!BV17),Datos!BV17," - ")</f>
        <v xml:space="preserve"> - </v>
      </c>
      <c r="AG17" s="552"/>
      <c r="AH17" s="553"/>
      <c r="AI17" s="554"/>
      <c r="AJ17" s="552">
        <f>IF(ISNUMBER(Datos!M17),Datos!M17," - ")</f>
        <v>41</v>
      </c>
      <c r="AK17" s="693">
        <f>IF(ISNUMBER(Datos!N17),Datos!N17," - ")</f>
        <v>193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4.7232142857142856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29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3.1071428571428577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478</v>
      </c>
      <c r="G23" s="1197">
        <f>SUBTOTAL(9,G16:G22)</f>
        <v>504</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364</v>
      </c>
      <c r="Z23" s="1240">
        <f t="shared" si="6"/>
        <v>0</v>
      </c>
      <c r="AA23" s="1240">
        <f t="shared" si="6"/>
        <v>558</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42</v>
      </c>
      <c r="AK23" s="1240">
        <f t="shared" si="6"/>
        <v>208</v>
      </c>
      <c r="AL23" s="1240">
        <f t="shared" si="6"/>
        <v>0</v>
      </c>
      <c r="AM23" s="1240">
        <f t="shared" si="6"/>
        <v>0</v>
      </c>
      <c r="AN23" s="1240">
        <f t="shared" si="6"/>
        <v>0</v>
      </c>
      <c r="AO23" s="1242">
        <f>IF(ISNUMBER(((NºAsuntos!I23/NºAsuntos!G23)*11)/factor_trimestre),((NºAsuntos!I23/NºAsuntos!G23)*11)/factor_trimestre," - ")</f>
        <v>4.5989010989010994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481</v>
      </c>
      <c r="G31" s="1117">
        <f t="shared" si="12"/>
        <v>507</v>
      </c>
      <c r="H31" s="1118">
        <f t="shared" si="12"/>
        <v>0</v>
      </c>
      <c r="I31" s="1117">
        <f t="shared" si="12"/>
        <v>0</v>
      </c>
      <c r="J31" s="1119">
        <f t="shared" si="12"/>
        <v>0</v>
      </c>
      <c r="K31" s="1117">
        <f t="shared" si="12"/>
        <v>0</v>
      </c>
      <c r="L31" s="1120">
        <f t="shared" si="12"/>
        <v>0</v>
      </c>
      <c r="M31" s="1117">
        <f t="shared" si="12"/>
        <v>0</v>
      </c>
      <c r="N31" s="1118">
        <f t="shared" si="12"/>
        <v>108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364</v>
      </c>
      <c r="Z31" s="1124">
        <f t="shared" si="13"/>
        <v>145</v>
      </c>
      <c r="AA31" s="1125">
        <f t="shared" si="13"/>
        <v>562</v>
      </c>
      <c r="AB31" s="1125">
        <f t="shared" si="13"/>
        <v>0</v>
      </c>
      <c r="AC31" s="1125">
        <f t="shared" si="13"/>
        <v>0</v>
      </c>
      <c r="AD31" s="1126">
        <f t="shared" si="13"/>
        <v>0</v>
      </c>
      <c r="AE31" s="1126">
        <f t="shared" si="13"/>
        <v>1152</v>
      </c>
      <c r="AF31" s="1127">
        <f t="shared" si="13"/>
        <v>0</v>
      </c>
      <c r="AG31" s="1128">
        <f t="shared" si="13"/>
        <v>0</v>
      </c>
      <c r="AH31" s="1129">
        <f t="shared" si="13"/>
        <v>0</v>
      </c>
      <c r="AI31" s="1127">
        <f t="shared" si="13"/>
        <v>0</v>
      </c>
      <c r="AJ31" s="1117">
        <f t="shared" si="13"/>
        <v>115</v>
      </c>
      <c r="AK31" s="1117">
        <f t="shared" si="13"/>
        <v>251</v>
      </c>
      <c r="AL31" s="1117">
        <f t="shared" si="13"/>
        <v>0</v>
      </c>
      <c r="AM31" s="1130">
        <f t="shared" si="13"/>
        <v>0</v>
      </c>
      <c r="AN31" s="1120">
        <f>IF(ISNUMBER(Datos!K31/Datos!J31),Datos!K31/Datos!J31," - ")</f>
        <v>0.97023809523809523</v>
      </c>
      <c r="AO31" s="1120">
        <f>IF(ISNUMBER(FIND("06",Criterios!A8,1)),(IF(ISNUMBER(((Datos!R31/Datos!Q31)*11)/factor_trimestre),((Datos!R31/Datos!Q31)*11)/factor_trimestre," - ")),(IF(ISNUMBER(((Datos!L31/Datos!K31)*11)/factor_trimestre),((Datos!L31/Datos!K31)*11)/factor_trimestre," - ")))</f>
        <v>5.2868098159509209</v>
      </c>
      <c r="AP31" s="1131" t="str">
        <f>IF(ISNUMBER(Datos!CI31/Datos!CJ31),Datos!CI31/Datos!CJ31," - ")</f>
        <v xml:space="preserve"> - </v>
      </c>
      <c r="AQ31" s="1131">
        <f>IF(OR(ISNUMBER(FIND("01",Criterios!A8,1)),ISNUMBER(FIND("02",Criterios!A8,1)),ISNUMBER(FIND("03",Criterios!A8,1)),ISNUMBER(FIND("04",Criterios!A8,1))),(J31-Y31+K31)/(F31-K31),(I31-Y31+K31)/(F31-K31))</f>
        <v>-0.7567567567567568</v>
      </c>
      <c r="AR31" s="1131">
        <f>IF(ISNUMBER((Datos!P31-Datos!Q31+O31)/(Datos!R31-Datos!P31+Datos!Q31-O31)),(Datos!P31-Datos!Q31+O31)/(Datos!R31-Datos!P31+Datos!Q31-O31)," - ")</f>
        <v>-3.1118587047939444E-2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246.06719949368846</v>
      </c>
      <c r="G33" s="674">
        <f>IF(ISNUMBER(STDEV(G8:G30)),STDEV(G8:G30),"-")</f>
        <v>236.751929644673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32.71412975633443</v>
      </c>
      <c r="AK33" s="276"/>
      <c r="AL33" s="276">
        <f>IF(ISNUMBER(STDEV(AL8:AL30)),STDEV(AL8:AL30),"-")</f>
        <v>0</v>
      </c>
      <c r="AM33" s="278">
        <f>IF(ISNUMBER(STDEV(AM8:AM30)),STDEV(AM8:AM30),"-")</f>
        <v>0</v>
      </c>
      <c r="AN33" s="660">
        <f>IF(ISNUMBER(STDEV(AN8:AN30)),STDEV(AN8:AN30),"-")</f>
        <v>0</v>
      </c>
      <c r="AO33" s="661">
        <f>IF(ISNUMBER(STDEV(AO8:AO30)),STDEV(AO8:AO30),"-")</f>
        <v>1.2800305675241805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5gs5k0WeD5IRc4WxLPTa+UTkkhNm8uj3gle/RfkAbwg+qLHJjw5lN9CMBlfe9kw9OJIzPCBu2D3N4C1tON92g==" saltValue="7SSIS32Ej0pmyt+8tvqZ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28ITsWA32mmv7sBJ28DUKSlPb4rG5NqAe32BSNBBXHKBS8jTTXysdxbyyti0ANBmoxikRYW+ZIpshAxGbI07g==" saltValue="3CtxE7g9roGZD0OhtkDP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3UbSw0UHOKwVZqyl08hLZh3cWVzZHlAIG+5+2fNgexPVz79518daMxc7BnTrVdIWyceAx/+mdaG5ZbzEbty0g==" saltValue="rEdM1WyjzVvdvJOzIg8N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ARACENA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0.24496644295302014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0.1732174329752281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ET1FovKgLORR0Kc6KK81HxG+T0NpKvt2RTYVN5UFqUF/9sHARu7+YmU+i5pGJ/YQl/3qgj0kbTixo2DFeDdOA==" saltValue="JxbLd8x3soq8/dHXuzOx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2otXIj/9LUUskpxhS1pgn+NVBc97xDY4K2FxKHyzRxJYq/lRvjYLvY1KT+jesgLR9vOe9Foteq4KdaXvCrX0g==" saltValue="M5z3ZHZJYTxcR+tdDN+U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ARACENA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647</v>
      </c>
      <c r="D12" s="452">
        <f>IF(ISNUMBER(C12/Datos!BH12),C12/Datos!BH12," - ")</f>
        <v>323.5</v>
      </c>
      <c r="E12" s="451">
        <f>IF(ISNUMBER(IF(J_V="SI",Datos!J12,Datos!J12+Datos!Z12)),IF(J_V="SI",Datos!J12,Datos!J12+Datos!Z12)," - ")</f>
        <v>262</v>
      </c>
      <c r="F12" s="452">
        <f>IF(ISNUMBER(E12/B12),E12/B12," - ")</f>
        <v>131</v>
      </c>
      <c r="G12" s="451">
        <f>IF(ISNUMBER(IF(J_V="SI",Datos!K12,Datos!K12+Datos!AA12)),IF(J_V="SI",Datos!K12,Datos!K12+Datos!AA12)," - ")</f>
        <v>298</v>
      </c>
      <c r="H12" s="452">
        <f>IF(ISNUMBER(G12/B12),G12/B12," - ")</f>
        <v>149</v>
      </c>
      <c r="I12" s="451">
        <f>IF(ISNUMBER(IF(J_V="SI",Datos!L12,Datos!L12+Datos!AB12)),IF(J_V="SI",Datos!L12,Datos!L12+Datos!AB12)," - ")</f>
        <v>611</v>
      </c>
      <c r="J12" s="452">
        <f>IF(ISNUMBER(I12/B12),I12/B12," - ")</f>
        <v>305.5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650</v>
      </c>
      <c r="D14" s="1147" t="str">
        <f>IF(ISNUMBER(C14/Datos!BI14),C14/Datos!BI14," - ")</f>
        <v xml:space="preserve"> - </v>
      </c>
      <c r="E14" s="1146">
        <f>SUBTOTAL(9,E8:E13)</f>
        <v>263</v>
      </c>
      <c r="F14" s="1147">
        <f>IF(ISNUMBER(E14/B14),E14/B14," - ")</f>
        <v>131.5</v>
      </c>
      <c r="G14" s="1146">
        <f>SUBTOTAL(9,G8:G13)</f>
        <v>298</v>
      </c>
      <c r="H14" s="1147">
        <f>IF(ISNUMBER(G14/B14),G14/B14," - ")</f>
        <v>149</v>
      </c>
      <c r="I14" s="1146">
        <f>SUBTOTAL(9,I8:I13)</f>
        <v>615</v>
      </c>
      <c r="J14" s="1147">
        <f>IF(ISNUMBER(I14/B14),I14/B14," - ")</f>
        <v>307.5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478</v>
      </c>
      <c r="D17" s="452">
        <f>IF(ISNUMBER(C17/Datos!BH17),C17/Datos!BH17," - ")</f>
        <v>239</v>
      </c>
      <c r="E17" s="451">
        <f>IF(ISNUMBER(IF(D_I="SI",Datos!J17,Datos!J17+Datos!AD17)),IF(D_I="SI",Datos!J17,Datos!J17+Datos!AD17)," - ")</f>
        <v>387</v>
      </c>
      <c r="F17" s="452">
        <f>IF(ISNUMBER(E17/B17),E17/B17," - ")</f>
        <v>193.5</v>
      </c>
      <c r="G17" s="451">
        <f>IF(ISNUMBER(IF(D_I="SI",Datos!K17,Datos!K17+Datos!AE17)),IF(D_I="SI",Datos!K17,Datos!K17+Datos!AE17)," - ")</f>
        <v>336</v>
      </c>
      <c r="H17" s="452">
        <f>IF(ISNUMBER(G17/B17),G17/B17," - ")</f>
        <v>168</v>
      </c>
      <c r="I17" s="451">
        <f>IF(ISNUMBER(IF(D_I="SI",Datos!L17,Datos!L17+Datos!AF17)),IF(D_I="SI",Datos!L17,Datos!L17+Datos!AF17)," - ")</f>
        <v>529</v>
      </c>
      <c r="J17" s="452">
        <f>IF(ISNUMBER(I17/B17),I17/B17," - ")</f>
        <v>264.5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31</v>
      </c>
      <c r="F18" s="452">
        <f>IF(ISNUMBER(E18/B18),E18/B18," - ")</f>
        <v>31</v>
      </c>
      <c r="G18" s="451">
        <f>IF(ISNUMBER(IF(D_I="SI",Datos!K18,Datos!K18+Datos!AE18)),IF(D_I="SI",Datos!K18,Datos!K18+Datos!AE18)," - ")</f>
        <v>28</v>
      </c>
      <c r="H18" s="452">
        <f>IF(ISNUMBER(G18/B18),G18/B18," - ")</f>
        <v>28</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504</v>
      </c>
      <c r="D23" s="1147" t="str">
        <f>IF(ISNUMBER(C23/Datos!BI23),C23/Datos!BI23," - ")</f>
        <v xml:space="preserve"> - </v>
      </c>
      <c r="E23" s="1146">
        <f>SUBTOTAL(9,E15:E22)</f>
        <v>418</v>
      </c>
      <c r="F23" s="1147">
        <f>IF(ISNUMBER(E23/B23),E23/B23," - ")</f>
        <v>209</v>
      </c>
      <c r="G23" s="1146">
        <f>SUBTOTAL(9,G15:G22)</f>
        <v>364</v>
      </c>
      <c r="H23" s="1147">
        <f>IF(ISNUMBER(G23/B23),G23/B23," - ")</f>
        <v>182</v>
      </c>
      <c r="I23" s="1146">
        <f>SUBTOTAL(9,I15:I22)</f>
        <v>558</v>
      </c>
      <c r="J23" s="1147">
        <f>IF(ISNUMBER(I23/B23),I23/B23," - ")</f>
        <v>279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1154</v>
      </c>
      <c r="D31" s="1085" t="str">
        <f>IF(ISNUMBER(C31/Datos!BI31),C31/Datos!BI31," - ")</f>
        <v xml:space="preserve"> - </v>
      </c>
      <c r="E31" s="1084">
        <f>SUBTOTAL(9,E9:E30)</f>
        <v>681</v>
      </c>
      <c r="F31" s="1085">
        <f>IF(ISNUMBER(E31/B31),E31/B31," - ")</f>
        <v>340.5</v>
      </c>
      <c r="G31" s="1084">
        <f>SUBTOTAL(9,G9:G30)</f>
        <v>662</v>
      </c>
      <c r="H31" s="1085">
        <f>IF(ISNUMBER(G31/B31),G31/B31," - ")</f>
        <v>331</v>
      </c>
      <c r="I31" s="1084">
        <f>SUBTOTAL(9,I9:I30)</f>
        <v>1173</v>
      </c>
      <c r="J31" s="1085">
        <f>IF(ISNUMBER(I31/B31),I31/B31," - ")</f>
        <v>586.5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pjXvqEjtxfI+C1hcSSeh5N0g0BcV9Ner6d1uulbLrpmGH2SPaXNNjYBmo11J9A090G1b6p2ENEUAdCXAEv+/w==" saltValue="is/HL0nKa5X8gdmhKgdO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ARACENA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73</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6.1510067114093951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-3.3065236818588022E-2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145</v>
      </c>
      <c r="AE14" s="1257">
        <f t="shared" si="1"/>
        <v>0</v>
      </c>
      <c r="AF14" s="1257">
        <f t="shared" si="1"/>
        <v>4</v>
      </c>
      <c r="AG14" s="1257">
        <f t="shared" si="1"/>
        <v>0</v>
      </c>
      <c r="AH14" s="1257">
        <f t="shared" si="1"/>
        <v>1082</v>
      </c>
      <c r="AI14" s="1257">
        <f t="shared" si="1"/>
        <v>0</v>
      </c>
      <c r="AJ14" s="1257">
        <f t="shared" si="1"/>
        <v>0</v>
      </c>
      <c r="AK14" s="1257">
        <f t="shared" si="1"/>
        <v>0</v>
      </c>
      <c r="AL14" s="1257">
        <f t="shared" si="1"/>
        <v>73</v>
      </c>
      <c r="AM14" s="1257">
        <f t="shared" si="1"/>
        <v>43</v>
      </c>
      <c r="AN14" s="1257">
        <f t="shared" si="1"/>
        <v>0</v>
      </c>
      <c r="AO14" s="1257">
        <f t="shared" si="1"/>
        <v>0</v>
      </c>
      <c r="AP14" s="1262">
        <f>IF(ISNUMBER(((Datos!L14/Datos!K14)*11)/factor_trimestre),((Datos!L14/Datos!K14)*11)/factor_trimestre," - ")</f>
        <v>6.1562500000000009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-3.3065236818588022E-2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4.5989010989010994</v>
      </c>
      <c r="AQ23" s="1262">
        <f>IF(ISNUMBER(((Datos!M23/Datos!L23)*11)/factor_trimestre),((Datos!M23/Datos!L23)*11)/factor_trimestre," - ")</f>
        <v>0.22580645161290325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-0.13182674199623351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145</v>
      </c>
      <c r="AE31" s="1284">
        <f t="shared" si="9"/>
        <v>0</v>
      </c>
      <c r="AF31" s="1285">
        <f t="shared" si="9"/>
        <v>4</v>
      </c>
      <c r="AG31" s="1285">
        <f t="shared" si="9"/>
        <v>0</v>
      </c>
      <c r="AH31" s="1285">
        <f t="shared" si="9"/>
        <v>1082</v>
      </c>
      <c r="AI31" s="1285">
        <f t="shared" si="9"/>
        <v>0</v>
      </c>
      <c r="AJ31" s="1286">
        <f t="shared" si="9"/>
        <v>0</v>
      </c>
      <c r="AK31" s="1286">
        <f t="shared" si="9"/>
        <v>0</v>
      </c>
      <c r="AL31" s="1278">
        <f t="shared" si="9"/>
        <v>73</v>
      </c>
      <c r="AM31" s="1278">
        <f t="shared" si="9"/>
        <v>43</v>
      </c>
      <c r="AN31" s="1278">
        <f t="shared" si="9"/>
        <v>0</v>
      </c>
      <c r="AO31" s="1278">
        <f t="shared" si="9"/>
        <v>0</v>
      </c>
      <c r="AP31" s="1278">
        <f>IF(ISNUMBER(((Datos!L31/Datos!K31)*11)/factor_trimestre),((Datos!L31/Datos!K31)*11)/factor_trimestre," - ")</f>
        <v>5.2868098159509209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-3.1118587047939444E-2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37.69703790308553</v>
      </c>
      <c r="AM33" s="1006"/>
      <c r="AN33" s="1006">
        <f>IF(ISNUMBER(STDEV(AN8:AN30)),STDEV(AN8:AN30),"-")</f>
        <v>0</v>
      </c>
      <c r="AO33" s="1012">
        <f>IF(ISNUMBER(STDEV(AO8:AO30)),STDEV(AO8:AO30),"-")</f>
        <v>0</v>
      </c>
      <c r="AP33" s="1065">
        <f>IF(ISNUMBER(STDEV(AP8:AP30)),STDEV(AP8:AP30),"-")</f>
        <v>0.89762602868241337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LJ8kUqRNcYggq42nRV0ykMQvcPd//VUD7Z4bNby1txixZoHcZx1n55KPV9kCmhirx1ThIxCzrLbnil34uOXw==" saltValue="vmtPhCCL1RCD5wonfnwu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ARACENA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4vZf/hsvDSptdTp62xKLe1kTE34nPWClVLebzkr01aeMoBlv1AL1UjUpgnF2dpiT6wtnD3ZZaCvlzpqVmRnvQ==" saltValue="jZ7xGHHxPn/Oc8nhF5JL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ARACENA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73</v>
      </c>
      <c r="E12" s="452">
        <f t="shared" si="0"/>
        <v>36.5</v>
      </c>
      <c r="F12" s="451">
        <f>IF(ISNUMBER(Datos!N12),Datos!N12," - ")</f>
        <v>43</v>
      </c>
      <c r="G12" s="452">
        <f t="shared" si="1"/>
        <v>21.5</v>
      </c>
      <c r="H12" s="451">
        <f>IF(ISNUMBER(Datos!O12),Datos!O12," - ")</f>
        <v>88</v>
      </c>
      <c r="I12" s="452">
        <f t="shared" si="2"/>
        <v>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73</v>
      </c>
      <c r="E14" s="1147">
        <f t="shared" si="0"/>
        <v>24.333333333333332</v>
      </c>
      <c r="F14" s="1146">
        <f>SUBTOTAL(9,F9:F13)</f>
        <v>43</v>
      </c>
      <c r="G14" s="1147">
        <f t="shared" si="1"/>
        <v>14.333333333333334</v>
      </c>
      <c r="H14" s="1146">
        <f>SUBTOTAL(9,H9:H13)</f>
        <v>88</v>
      </c>
      <c r="I14" s="1147">
        <f>IF(ISNUMBER(H14/B14),H14/B14," - ")</f>
        <v>29.333333333333332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41</v>
      </c>
      <c r="E17" s="452">
        <f t="shared" si="3"/>
        <v>20.5</v>
      </c>
      <c r="F17" s="451">
        <f>IF(ISNUMBER(Datos!N17),Datos!N17," - ")</f>
        <v>193</v>
      </c>
      <c r="G17" s="452">
        <f t="shared" si="4"/>
        <v>96.5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42</v>
      </c>
      <c r="E23" s="1147">
        <f t="shared" si="3"/>
        <v>14</v>
      </c>
      <c r="F23" s="1146">
        <f>SUBTOTAL(9,F16:F22)</f>
        <v>208</v>
      </c>
      <c r="G23" s="1147">
        <f t="shared" si="4"/>
        <v>69.333333333333329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115</v>
      </c>
      <c r="E31" s="1085">
        <f>IF(ISNUMBER(D31/B31),D31/B31," - ")</f>
        <v>57.5</v>
      </c>
      <c r="F31" s="1084">
        <f>SUBTOTAL(9,F8:F30)</f>
        <v>251</v>
      </c>
      <c r="G31" s="1085">
        <f>IF(ISNUMBER(F31/B31),F31/B31," - ")</f>
        <v>125.5</v>
      </c>
      <c r="H31" s="1084">
        <f>SUBTOTAL(9,H8:H30)</f>
        <v>88</v>
      </c>
      <c r="I31" s="1085">
        <f>IF(ISNUMBER(H31/B31),H31/B31," - ")</f>
        <v>44</v>
      </c>
    </row>
    <row r="34" spans="1:1">
      <c r="A34" s="439" t="str">
        <f>Criterios!A4</f>
        <v>Fecha Informe: 05 may. 2023</v>
      </c>
    </row>
    <row r="39" spans="1:1">
      <c r="A39" s="462"/>
    </row>
  </sheetData>
  <sheetProtection algorithmName="SHA-512" hashValue="bc9DpONJeZR/wOPKVCrgnxjlZpzdR/6IBWFRBbd1Aqzjfs1tNE1p44Cf+s1zB+M1+B/ov4jMIiO8AYjUnPUqvQ==" saltValue="dGk8LDRM8bRok61SYhSh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ARACENA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108</v>
      </c>
      <c r="C12" s="489">
        <f>IF(ISNUMBER(Datos!Q12),Datos!Q12," - ")</f>
        <v>145</v>
      </c>
      <c r="D12" s="456">
        <f>IF(ISNUMBER(Datos!R12),Datos!R12," - ")</f>
        <v>1082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108</v>
      </c>
      <c r="C14" s="1150">
        <f>SUBTOTAL(9,C9:C13)</f>
        <v>145</v>
      </c>
      <c r="D14" s="1148">
        <f>SUBTOTAL(9,D9:D13)</f>
        <v>1082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70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108</v>
      </c>
      <c r="C31" s="1089">
        <f>SUBTOTAL(9,C8:C30)</f>
        <v>145</v>
      </c>
      <c r="D31" s="1090">
        <f>SUBTOTAL(9,D8:D30)</f>
        <v>1152</v>
      </c>
    </row>
    <row r="32" spans="1:4" ht="7.5" customHeight="1"/>
    <row r="33" spans="1:1" ht="6" customHeight="1"/>
    <row r="34" spans="1:1">
      <c r="A34" s="439" t="str">
        <f>Criterios!A4</f>
        <v>Fecha Informe: 05 may. 2023</v>
      </c>
    </row>
    <row r="39" spans="1:1">
      <c r="A39" s="462"/>
    </row>
  </sheetData>
  <sheetProtection algorithmName="SHA-512" hashValue="AEQo5R25mpyDfewuCnzQOVfF1F6kwZlhGOHLRfqZ6xebhfBZc43hd2LrISWVzUsP4nek7B5f/H4YM6rNxr1Axw==" saltValue="ohshYe0H5ZKLCCHFHofK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ARACENA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t="str">
        <f>IF(ISNUMBER((Datos!J10-Datos!T10)/Datos!T10),(Datos!J10-Datos!T10)/Datos!T10," - ")</f>
        <v xml:space="preserve"> - </v>
      </c>
      <c r="D10" s="515">
        <f>IF(ISNUMBER((Datos!K10-Datos!U10)/Datos!U10),(Datos!K10-Datos!U10)/Datos!U10," - ")</f>
        <v>-1</v>
      </c>
      <c r="E10" s="515">
        <f>IF(ISNUMBER((Datos!L10-Datos!V10)/Datos!V10),(Datos!L10-Datos!V10)/Datos!V10," - ")</f>
        <v>0.33333333333333331</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-0.22048192771084338</v>
      </c>
      <c r="C12" s="515">
        <f>IF(ISNUMBER(
   IF(J_V="SI",(Datos!J12-Datos!T12)/Datos!T12,(Datos!J12+Datos!Z12-(Datos!T12+Datos!AH12))/(Datos!T12+Datos!AH12))
     ),IF(J_V="SI",(Datos!J12-Datos!T12)/Datos!T12,(Datos!J12+Datos!Z12-(Datos!T12+Datos!AH12))/(Datos!T12+Datos!AH12))," - ")</f>
        <v>-0.22023809523809523</v>
      </c>
      <c r="D12" s="515">
        <f>IF(ISNUMBER(
   IF(J_V="SI",(Datos!K12-Datos!U12)/Datos!U12,(Datos!K12+Datos!AA12-(Datos!U12+Datos!AI12))/(Datos!U12+Datos!AI12))
     ),IF(J_V="SI",(Datos!K12-Datos!U12)/Datos!U12,(Datos!K12+Datos!AA12-(Datos!U12+Datos!AI12))/(Datos!U12+Datos!AI12))," - ")</f>
        <v>-0.26960784313725489</v>
      </c>
      <c r="E12" s="515">
        <f>IF(ISNUMBER(
   IF(J_V="SI",(Datos!L12-Datos!V12)/Datos!V12,(Datos!L12+Datos!AB12-(Datos!V12+Datos!AJ12))/(Datos!V12+Datos!AJ12))
     ),IF(J_V="SI",(Datos!L12-Datos!V12)/Datos!V12,(Datos!L12+Datos!AB12-(Datos!V12+Datos!AJ12))/(Datos!V12+Datos!AJ12))," - ")</f>
        <v>-0.19393139841688653</v>
      </c>
      <c r="F12" s="515">
        <f>IF(ISNUMBER((Datos!M12-Datos!W12)/Datos!W12),(Datos!M12-Datos!W12)/Datos!W12," - ")</f>
        <v>-0.15116279069767441</v>
      </c>
      <c r="G12" s="516">
        <f>IF(ISNUMBER((Datos!N12-Datos!X12)/Datos!X12),(Datos!N12-Datos!X12)/Datos!X12," - ")</f>
        <v>-0.70748299319727892</v>
      </c>
      <c r="H12" s="514">
        <f>IF(ISNUMBER(((NºAsuntos!G12/NºAsuntos!E12)-Datos!BD12)/Datos!BD12),((NºAsuntos!G12/NºAsuntos!E12)-Datos!BD12)/Datos!BD12," - ")</f>
        <v>-6.3313875168387893E-2</v>
      </c>
      <c r="I12" s="515">
        <f>IF(ISNUMBER(((NºAsuntos!I12/NºAsuntos!G12)-Datos!BE12)/Datos!BE12),((NºAsuntos!I12/NºAsuntos!G12)-Datos!BE12)/Datos!BE12," - ")</f>
        <v>0.10361070283862503</v>
      </c>
      <c r="J12" s="521">
        <f>IF(ISNUMBER((('Resol  Asuntos'!D12/NºAsuntos!G12)-Datos!BF12)/Datos!BF12),(('Resol  Asuntos'!D12/NºAsuntos!G12)-Datos!BF12)/Datos!BF12," - ")</f>
        <v>-0.32009313792631144</v>
      </c>
      <c r="K12" s="522">
        <f>IF(ISNUMBER((((NºAsuntos!C12+NºAsuntos!E12)/NºAsuntos!G12)-Datos!BG12)/Datos!BG12),(((NºAsuntos!C12+NºAsuntos!E12)/NºAsuntos!G12)-Datos!BG12)/Datos!BG12," - ")</f>
        <v>6.7355842840203919E-2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-0.22062350119904076</v>
      </c>
      <c r="C14" s="1152">
        <f>IF(ISNUMBER(
   IF(J_V="SI",(Datos!J14-Datos!T14)/Datos!T14,(Datos!J14+Datos!Z14-(Datos!T14+Datos!AH14))/(Datos!T14+Datos!AH14))
     ),IF(J_V="SI",(Datos!J14-Datos!T14)/Datos!T14,(Datos!J14+Datos!Z14-(Datos!T14+Datos!AH14))/(Datos!T14+Datos!AH14))," - ")</f>
        <v>-0.21726190476190477</v>
      </c>
      <c r="D14" s="1152">
        <f>IF(ISNUMBER(
   IF(J_V="SI",(Datos!K14-Datos!U14)/Datos!U14,(Datos!K14+Datos!AA14-(Datos!U14+Datos!AI14))/(Datos!U14+Datos!AI14))
     ),IF(J_V="SI",(Datos!K14-Datos!U14)/Datos!U14,(Datos!K14+Datos!AA14-(Datos!U14+Datos!AI14))/(Datos!U14+Datos!AI14))," - ")</f>
        <v>-0.27139364303178481</v>
      </c>
      <c r="E14" s="1152">
        <f>IF(ISNUMBER(
   IF(J_V="SI",(Datos!L14-Datos!V14)/Datos!V14,(Datos!L14+Datos!AB14-(Datos!V14+Datos!AJ14))/(Datos!V14+Datos!AJ14))
     ),IF(J_V="SI",(Datos!L14-Datos!V14)/Datos!V14,(Datos!L14+Datos!AB14-(Datos!V14+Datos!AJ14))/(Datos!V14+Datos!AJ14))," - ")</f>
        <v>-0.19185282522996058</v>
      </c>
      <c r="F14" s="1153">
        <f>IF(ISNUMBER((Datos!M14-Datos!W14)/Datos!W14),(Datos!M14-Datos!W14)/Datos!W14," - ")</f>
        <v>-0.15116279069767441</v>
      </c>
      <c r="G14" s="1154">
        <f>IF(ISNUMBER((Datos!N14-Datos!X14)/Datos!X14),(Datos!N14-Datos!X14)/Datos!X14," - ")</f>
        <v>-0.70945945945945943</v>
      </c>
      <c r="H14" s="1154">
        <f>IF(ISNUMBER(((NºAsuntos!G14/NºAsuntos!E14)-Datos!BD14)/Datos!BD14),((NºAsuntos!G14/NºAsuntos!E14)-Datos!BD14)/Datos!BD14," - ")</f>
        <v>-6.9156897561519784E-2</v>
      </c>
      <c r="I14" s="1154">
        <f>IF(ISNUMBER(((NºAsuntos!I14/NºAsuntos!G14)-Datos!BE14)/Datos!BE14),((NºAsuntos!I14/NºAsuntos!G14)-Datos!BE14)/Datos!BE14," - ")</f>
        <v>0.10916843785552396</v>
      </c>
      <c r="J14" s="1154">
        <f>IF(ISNUMBER((('Resol  Asuntos'!D14/NºAsuntos!G14)-Datos!BF14)/Datos!BF14),(('Resol  Asuntos'!D14/NºAsuntos!G14)-Datos!BF14)/Datos!BF14," - ")</f>
        <v>-0.31842669953887592</v>
      </c>
      <c r="K14" s="1154">
        <f>IF(ISNUMBER((((NºAsuntos!C14+NºAsuntos!E14)/NºAsuntos!G14)-Datos!BG14)/Datos!BG14),(((NºAsuntos!C14+NºAsuntos!E14)/NºAsuntos!G14)-Datos!BG14)/Datos!BG14," - ")</f>
        <v>7.1006137784661319E-2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7.6576576576576572E-2</v>
      </c>
      <c r="C17" s="515">
        <f>IF(ISNUMBER(
   IF(D_I="SI",(Datos!J17-Datos!T17)/Datos!T17,(Datos!J17+Datos!AD17-(Datos!T17+Datos!AL17))/(Datos!T17+Datos!AL17))
     ),IF(D_I="SI",(Datos!J17-Datos!T17)/Datos!T17,(Datos!J17+Datos!AD17-(Datos!T17+Datos!AL17))/(Datos!T17+Datos!AL17))," - ")</f>
        <v>4.0322580645161289E-2</v>
      </c>
      <c r="D17" s="515">
        <f>IF(ISNUMBER(
   IF(D_I="SI",(Datos!K17-Datos!U17)/Datos!U17,(Datos!K17+Datos!AE17-(Datos!U17+Datos!AM17))/(Datos!U17+Datos!AM17))
     ),IF(D_I="SI",(Datos!K17-Datos!U17)/Datos!U17,(Datos!K17+Datos!AE17-(Datos!U17+Datos!AM17))/(Datos!U17+Datos!AM17))," - ")</f>
        <v>0.05</v>
      </c>
      <c r="E17" s="515">
        <f>IF(ISNUMBER(
   IF(D_I="SI",(Datos!L17-Datos!V17)/Datos!V17,(Datos!L17+Datos!AF17-(Datos!V17+Datos!AN17))/(Datos!V17+Datos!AN17))
     ),IF(D_I="SI",(Datos!L17-Datos!V17)/Datos!V17,(Datos!L17+Datos!AF17-(Datos!V17+Datos!AN17))/(Datos!V17+Datos!AN17))," - ")</f>
        <v>6.6532258064516125E-2</v>
      </c>
      <c r="F17" s="515">
        <f>IF(ISNUMBER((Datos!M17-Datos!W17)/Datos!W17),(Datos!M17-Datos!W17)/Datos!W17," - ")</f>
        <v>-0.34920634920634919</v>
      </c>
      <c r="G17" s="516">
        <f>IF(ISNUMBER((Datos!N17-Datos!X17)/Datos!X17),(Datos!N17-Datos!X17)/Datos!X17," - ")</f>
        <v>0.22929936305732485</v>
      </c>
      <c r="H17" s="514">
        <f>IF(ISNUMBER(((NºAsuntos!G17/NºAsuntos!E17)-Datos!BD17)/Datos!BD17),((NºAsuntos!G17/NºAsuntos!E17)-Datos!BD17)/Datos!BD17," - ")</f>
        <v>9.3023255813953192E-3</v>
      </c>
      <c r="I17" s="515">
        <f>IF(ISNUMBER(((NºAsuntos!I17/NºAsuntos!G17)-Datos!BE17)/Datos!BE17),((NºAsuntos!I17/NºAsuntos!G17)-Datos!BE17)/Datos!BE17," - ")</f>
        <v>1.5745007680491495E-2</v>
      </c>
      <c r="J17" s="521">
        <f>IF(ISNUMBER((('Resol  Asuntos'!D17/NºAsuntos!G17)-Datos!BF17)/Datos!BF17),(('Resol  Asuntos'!D17/NºAsuntos!G17)-Datos!BF17)/Datos!BF17," - ")</f>
        <v>-0.38019652305366591</v>
      </c>
      <c r="K17" s="522">
        <f>IF(ISNUMBER((((NºAsuntos!C17+NºAsuntos!E17)/NºAsuntos!G17)-Datos!BG17)/Datos!BG17),(((NºAsuntos!C17+NºAsuntos!E17)/NºAsuntos!G17)-Datos!BG17)/Datos!BG17," - ")</f>
        <v>9.5704948646125661E-3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0.52941176470588236</v>
      </c>
      <c r="C18" s="515">
        <f>IF(ISNUMBER(
   IF(D_I="SI",(Datos!J18-Datos!T18)/Datos!T18,(Datos!J18+Datos!AD18-(Datos!T18+Datos!AL18))/(Datos!T18+Datos!AL18))
     ),IF(D_I="SI",(Datos!J18-Datos!T18)/Datos!T18,(Datos!J18+Datos!AD18-(Datos!T18+Datos!AL18))/(Datos!T18+Datos!AL18))," - ")</f>
        <v>0.14814814814814814</v>
      </c>
      <c r="D18" s="515">
        <f>IF(ISNUMBER(
   IF(D_I="SI",(Datos!K18-Datos!U18)/Datos!U18,(Datos!K18+Datos!AE18-(Datos!U18+Datos!AM18))/(Datos!U18+Datos!AM18))
     ),IF(D_I="SI",(Datos!K18-Datos!U18)/Datos!U18,(Datos!K18+Datos!AE18-(Datos!U18+Datos!AM18))/(Datos!U18+Datos!AM18))," - ")</f>
        <v>-0.15151515151515152</v>
      </c>
      <c r="E18" s="515">
        <f>IF(ISNUMBER(
   IF(D_I="SI",(Datos!L18-Datos!V18)/Datos!V18,(Datos!L18+Datos!AF18-(Datos!V18+Datos!AN18))/(Datos!V18+Datos!AN18))
     ),IF(D_I="SI",(Datos!L18-Datos!V18)/Datos!V18,(Datos!L18+Datos!AF18-(Datos!V18+Datos!AN18))/(Datos!V18+Datos!AN18))," - ")</f>
        <v>1.6363636363636365</v>
      </c>
      <c r="F18" s="515" t="str">
        <f>IF(ISNUMBER((Datos!M18-Datos!W18)/Datos!W18),(Datos!M18-Datos!W18)/Datos!W18," - ")</f>
        <v xml:space="preserve"> - </v>
      </c>
      <c r="G18" s="516">
        <f>IF(ISNUMBER((Datos!N18-Datos!X18)/Datos!X18),(Datos!N18-Datos!X18)/Datos!X18," - ")</f>
        <v>-0.375</v>
      </c>
      <c r="H18" s="514">
        <f>IF(ISNUMBER(((NºAsuntos!G18/NºAsuntos!E18)-Datos!BD18)/Datos!BD18),((NºAsuntos!G18/NºAsuntos!E18)-Datos!BD18)/Datos!BD18," - ")</f>
        <v>-0.26099706744868045</v>
      </c>
      <c r="I18" s="515">
        <f>IF(ISNUMBER(((NºAsuntos!I18/NºAsuntos!G18)-Datos!BE18)/Datos!BE18),((NºAsuntos!I18/NºAsuntos!G18)-Datos!BE18)/Datos!BE18," - ")</f>
        <v>2.1071428571428577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0.5267857142857143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9.3275488069414311E-2</v>
      </c>
      <c r="C23" s="1152">
        <f>IF(ISNUMBER(
   IF(Criterios!B14="SI",(Datos!J23-Datos!T23)/Datos!T23,(Datos!J23+Datos!AD23-(Datos!T23+Datos!AL23))/(Datos!T23+Datos!AL23))
     ),IF(Criterios!B14="SI",(Datos!J23-Datos!T23)/Datos!T23,(Datos!J23+Datos!AD23-(Datos!T23+Datos!AL23))/(Datos!T23+Datos!AL23))," - ")</f>
        <v>4.7619047619047616E-2</v>
      </c>
      <c r="D23" s="1152">
        <f>IF(ISNUMBER(
   IF(Criterios!B14="SI",(Datos!K23-Datos!U23)/Datos!U23,(Datos!K23+Datos!AE23-(Datos!U23+Datos!AM23))/(Datos!U23+Datos!AM23))
     ),IF(Criterios!B14="SI",(Datos!K23-Datos!U23)/Datos!U23,(Datos!K23+Datos!AE23-(Datos!U23+Datos!AM23))/(Datos!U23+Datos!AM23))," - ")</f>
        <v>3.1161473087818695E-2</v>
      </c>
      <c r="E23" s="1152">
        <f>IF(ISNUMBER(
   IF(Criterios!B14="SI",(Datos!L23-Datos!V23)/Datos!V23,(Datos!L23+Datos!AF23-(Datos!V23+Datos!AN23))/(Datos!V23+Datos!AN23))
     ),IF(Criterios!B14="SI",(Datos!L23-Datos!V23)/Datos!V23,(Datos!L23+Datos!AF23-(Datos!V23+Datos!AN23))/(Datos!V23+Datos!AN23))," - ")</f>
        <v>0.10059171597633136</v>
      </c>
      <c r="F23" s="1153">
        <f>IF(ISNUMBER((Datos!M23-Datos!W23)/Datos!W23),(Datos!M23-Datos!W23)/Datos!W23," - ")</f>
        <v>-0.33333333333333331</v>
      </c>
      <c r="G23" s="1154">
        <f>IF(ISNUMBER((Datos!N23-Datos!X23)/Datos!X23),(Datos!N23-Datos!X23)/Datos!X23," - ")</f>
        <v>0.14917127071823205</v>
      </c>
      <c r="H23" s="1154">
        <f>IF(ISNUMBER(((NºAsuntos!G23/NºAsuntos!E23)-Datos!BD23)/Datos!BD23),((NºAsuntos!G23/NºAsuntos!E23)-Datos!BD23)/Datos!BD23," - ")</f>
        <v>-1.5709502961627625E-2</v>
      </c>
      <c r="I23" s="1154">
        <f>IF(ISNUMBER(((NºAsuntos!I23/NºAsuntos!G23)-Datos!BE23)/Datos!BE23),((NºAsuntos!I23/NºAsuntos!G23)-Datos!BE23)/Datos!BE23," - ")</f>
        <v>6.7332076207815977E-2</v>
      </c>
      <c r="J23" s="1154">
        <f>IF(ISNUMBER((('Resol  Asuntos'!D23/NºAsuntos!G23)-Datos!BF23)/Datos!BF23),(('Resol  Asuntos'!D23/NºAsuntos!G23)-Datos!BF23)/Datos!BF23," - ")</f>
        <v>-0.35347985347985339</v>
      </c>
      <c r="K23" s="1154">
        <f>IF(ISNUMBER((((NºAsuntos!C23+NºAsuntos!E23)/NºAsuntos!G23)-Datos!BG23)/Datos!BG23),(((NºAsuntos!C23+NºAsuntos!E23)/NºAsuntos!G23)-Datos!BG23)/Datos!BG23," - ")</f>
        <v>3.9694607717863511E-2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-0.10888030888030888</v>
      </c>
      <c r="C31" s="1092">
        <f>IF(ISNUMBER(
   IF(J_V="SI",(Datos!J31-Datos!T31)/Datos!T31,(Datos!J31+Datos!Z31-(Datos!T31+Datos!AH31))/(Datos!T31+Datos!AH31))
     ),IF(J_V="SI",(Datos!J31-Datos!T31)/Datos!T31,(Datos!J31+Datos!Z31-(Datos!T31+Datos!AH31))/(Datos!T31+Datos!AH31))," - ")</f>
        <v>-7.3469387755102047E-2</v>
      </c>
      <c r="D31" s="1092">
        <f>IF(ISNUMBER(
   IF(J_V="SI",(Datos!K31-Datos!U31)/Datos!U31,(Datos!K31+Datos!AA31-(Datos!U31+Datos!AI31))/(Datos!U31+Datos!AI31))
     ),IF(J_V="SI",(Datos!K31-Datos!U31)/Datos!U31,(Datos!K31+Datos!AA31-(Datos!U31+Datos!AI31))/(Datos!U31+Datos!AI31))," - ")</f>
        <v>-0.13123359580052493</v>
      </c>
      <c r="E31" s="1092">
        <f>IF(ISNUMBER(
   IF(J_V="SI",(Datos!L31-Datos!V31)/Datos!V31,(Datos!L31+Datos!AB31-(Datos!V31+Datos!AJ31))/(Datos!V31+Datos!AJ31))
     ),IF(J_V="SI",(Datos!L31-Datos!V31)/Datos!V31,(Datos!L31+Datos!AB31-(Datos!V31+Datos!AJ31))/(Datos!V31+Datos!AJ31))," - ")</f>
        <v>-7.4921135646687703E-2</v>
      </c>
      <c r="F31" s="1093">
        <f>IF(ISNUMBER((Datos!M31-Datos!W31)/Datos!W31),(Datos!M31-Datos!W31)/Datos!W31," - ")</f>
        <v>-0.22818791946308725</v>
      </c>
      <c r="G31" s="1094">
        <f>IF(ISNUMBER((Datos!N31-Datos!X31)/Datos!X31),(Datos!N31-Datos!X31)/Datos!X31," - ")</f>
        <v>-0.23708206686930092</v>
      </c>
      <c r="H31" s="1095">
        <f>IF(ISNUMBER((Tasas!B31-Datos!BD31)/Datos!BD31),(Tasas!B31-Datos!BD31)/Datos!BD31," - ")</f>
        <v>-6.2344629828760385E-2</v>
      </c>
      <c r="I31" s="1096">
        <f>IF(ISNUMBER((Tasas!C31-Datos!BE31)/Datos!BE31),(Tasas!C31-Datos!BE31)/Datos!BE31," - ")</f>
        <v>6.4818874074356422E-2</v>
      </c>
      <c r="J31" s="1097">
        <f>IF(ISNUMBER((Tasas!D31-Datos!BF31)/Datos!BF31),(Tasas!D31-Datos!BF31)/Datos!BF31," - ")</f>
        <v>-0.36965904186447995</v>
      </c>
      <c r="K31" s="1097">
        <f>IF(ISNUMBER((Tasas!E31-Datos!BG31)/Datos!BG31),(Tasas!E31-Datos!BG31)/Datos!BG31," - ")</f>
        <v>4.0487848436593164E-2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LJp/zfM11nU6rHWI6Ff0dxajpJ8HWKFOyDDjy2spO4zCv/1YRi1NyAK4/nbXlFXJnpr2ybnBvoqNztfIlqM2w==" saltValue="t4jyc6B0QSbW6Dhgh79e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ARACENA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1.1374045801526718</v>
      </c>
      <c r="C12" s="498">
        <f>IF(ISNUMBER(NºAsuntos!I12/NºAsuntos!G12),NºAsuntos!I12/NºAsuntos!G12," - ")</f>
        <v>2.0503355704697985</v>
      </c>
      <c r="D12" s="499">
        <f>IF(ISNUMBER('Resol  Asuntos'!D12/NºAsuntos!G12),'Resol  Asuntos'!D12/NºAsuntos!G12," - ")</f>
        <v>0.24496644295302014</v>
      </c>
      <c r="E12" s="500">
        <f>IF(ISNUMBER((NºAsuntos!C12+NºAsuntos!E12)/NºAsuntos!G12),(NºAsuntos!C12+NºAsuntos!E12)/NºAsuntos!G12," - ")</f>
        <v>3.0503355704697985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1.1330798479087452</v>
      </c>
      <c r="C14" s="1156">
        <f>IF(ISNUMBER(NºAsuntos!I14/NºAsuntos!G14),NºAsuntos!I14/NºAsuntos!G14," - ")</f>
        <v>2.063758389261745</v>
      </c>
      <c r="D14" s="1157">
        <f>IF(ISNUMBER('Resol  Asuntos'!D14/NºAsuntos!G14),'Resol  Asuntos'!D14/NºAsuntos!G14," - ")</f>
        <v>0.24496644295302014</v>
      </c>
      <c r="E14" s="1158">
        <f>IF(ISNUMBER((NºAsuntos!C14+NºAsuntos!E14)/NºAsuntos!G14),(NºAsuntos!C14+NºAsuntos!E14)/NºAsuntos!G14," - ")</f>
        <v>3.063758389261745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0.86821705426356588</v>
      </c>
      <c r="C17" s="498">
        <f>IF(ISNUMBER(NºAsuntos!I17/NºAsuntos!G17),NºAsuntos!I17/NºAsuntos!G17," - ")</f>
        <v>1.5744047619047619</v>
      </c>
      <c r="D17" s="499">
        <f>IF(ISNUMBER('Resol  Asuntos'!D17/NºAsuntos!G17),'Resol  Asuntos'!D17/NºAsuntos!G17," - ")</f>
        <v>0.12202380952380952</v>
      </c>
      <c r="E17" s="500">
        <f>IF(ISNUMBER((NºAsuntos!C17+NºAsuntos!E17)/NºAsuntos!G17),(NºAsuntos!C17+NºAsuntos!E17)/NºAsuntos!G17," - ")</f>
        <v>2.5744047619047619</v>
      </c>
      <c r="G17" s="523"/>
    </row>
    <row r="18" spans="1:7">
      <c r="A18" s="450" t="str">
        <f>Datos!A18</f>
        <v>Jdos. Violencia contra la mujer</v>
      </c>
      <c r="B18" s="497">
        <f>IF(ISNUMBER(NºAsuntos!G18/NºAsuntos!E18),NºAsuntos!G18/NºAsuntos!E18," - ")</f>
        <v>0.90322580645161288</v>
      </c>
      <c r="C18" s="498">
        <f>IF(ISNUMBER(NºAsuntos!I18/NºAsuntos!G18),NºAsuntos!I18/NºAsuntos!G18," - ")</f>
        <v>1.0357142857142858</v>
      </c>
      <c r="D18" s="499">
        <f>IF(ISNUMBER('Resol  Asuntos'!D18/NºAsuntos!G18),'Resol  Asuntos'!D18/NºAsuntos!G18," - ")</f>
        <v>3.5714285714285712E-2</v>
      </c>
      <c r="E18" s="500">
        <f>IF(ISNUMBER((NºAsuntos!C18+NºAsuntos!E18)/NºAsuntos!G18),(NºAsuntos!C18+NºAsuntos!E18)/NºAsuntos!G18," - ")</f>
        <v>2.0357142857142856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0.87081339712918659</v>
      </c>
      <c r="C23" s="1156">
        <f>IF(ISNUMBER(NºAsuntos!I23/NºAsuntos!G23),NºAsuntos!I23/NºAsuntos!G23," - ")</f>
        <v>1.5329670329670331</v>
      </c>
      <c r="D23" s="1159">
        <f>IF(ISNUMBER('Resol  Asuntos'!D23/NºAsuntos!G23),'Resol  Asuntos'!D23/NºAsuntos!G23," - ")</f>
        <v>0.11538461538461539</v>
      </c>
      <c r="E23" s="1158">
        <f>IF(ISNUMBER((NºAsuntos!C23+NºAsuntos!E23)/NºAsuntos!G23),(NºAsuntos!C23+NºAsuntos!E23)/NºAsuntos!G23," - ")</f>
        <v>2.5329670329670328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0.97209985315712188</v>
      </c>
      <c r="C31" s="1099">
        <f>IF(ISNUMBER(NºAsuntos!I31/NºAsuntos!G31),NºAsuntos!I31/NºAsuntos!G31," - ")</f>
        <v>1.7719033232628398</v>
      </c>
      <c r="D31" s="1100">
        <f>IF(ISNUMBER('Resol  Asuntos'!D31/NºAsuntos!G31),'Resol  Asuntos'!D31/NºAsuntos!G31," - ")</f>
        <v>0.17371601208459214</v>
      </c>
      <c r="E31" s="1101">
        <f>IF(ISNUMBER((NºAsuntos!C31+NºAsuntos!E31)/NºAsuntos!G31),(NºAsuntos!C31+NºAsuntos!E31)/NºAsuntos!G31," - ")</f>
        <v>2.7719033232628401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95xkP5xYO/mJxWDNuhhBd73PPogw6e5wihvEj/akfOyIgNXM50DRKkBVEIceGcnb+wTB5uYF36+A9OdCDMKSA==" saltValue="C8LXac59O+J5jeRIVn0o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ARACENA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145</v>
      </c>
      <c r="Y12" s="374">
        <f t="shared" si="0"/>
        <v>145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73</v>
      </c>
      <c r="AJ12" s="243" t="str">
        <f>IF(ISNUMBER(Datos!BW12),Datos!BW12," - ")</f>
        <v xml:space="preserve"> - </v>
      </c>
      <c r="AK12" s="242" t="str">
        <f>IF(ISNUMBER(Datos!BX12),Datos!BX12," - ")</f>
        <v xml:space="preserve"> - </v>
      </c>
      <c r="AL12" s="266">
        <f>IF(ISNUMBER(NºAsuntos!G12/NºAsuntos!E12),NºAsuntos!G12/NºAsuntos!E12," - ")</f>
        <v>1.1374045801526718</v>
      </c>
      <c r="AM12" s="284">
        <f>IF(ISNUMBER(((NºAsuntos!I12/NºAsuntos!G12)*11)/factor_trimestre),((NºAsuntos!I12/NºAsuntos!G12)*11)/factor_trimestre," - ")</f>
        <v>6.1510067114093951</v>
      </c>
      <c r="AN12" s="267">
        <f>IF(ISNUMBER('Resol  Asuntos'!D12/NºAsuntos!G12),'Resol  Asuntos'!D12/NºAsuntos!G12," - ")</f>
        <v>0.24496644295302014</v>
      </c>
      <c r="AO12" s="268">
        <f>IF(ISNUMBER((NºAsuntos!C12+NºAsuntos!E12)/NºAsuntos!G12),(NºAsuntos!C12+NºAsuntos!E12)/NºAsuntos!G12," - ")</f>
        <v>3.0503355704697985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108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145</v>
      </c>
      <c r="Y14" s="1165">
        <f t="shared" si="6"/>
        <v>145</v>
      </c>
      <c r="Z14" s="1165">
        <f t="shared" si="6"/>
        <v>0</v>
      </c>
      <c r="AA14" s="1165">
        <f t="shared" si="6"/>
        <v>4</v>
      </c>
      <c r="AB14" s="1165">
        <f t="shared" si="6"/>
        <v>1082</v>
      </c>
      <c r="AC14" s="1165">
        <f t="shared" si="6"/>
        <v>4</v>
      </c>
      <c r="AD14" s="1165">
        <f t="shared" si="6"/>
        <v>0</v>
      </c>
      <c r="AE14" s="1169">
        <f t="shared" si="6"/>
        <v>0</v>
      </c>
      <c r="AF14" s="1162">
        <f t="shared" si="6"/>
        <v>0</v>
      </c>
      <c r="AG14" s="1170">
        <f t="shared" si="6"/>
        <v>0</v>
      </c>
      <c r="AH14" s="1167">
        <f t="shared" si="6"/>
        <v>0</v>
      </c>
      <c r="AI14" s="1162">
        <f t="shared" si="6"/>
        <v>73</v>
      </c>
      <c r="AJ14" s="1164">
        <f t="shared" si="6"/>
        <v>0</v>
      </c>
      <c r="AK14" s="1167">
        <f>SUBTOTAL(9,AK9:AK13)</f>
        <v>0</v>
      </c>
      <c r="AL14" s="1171">
        <f>IF(ISNUMBER(NºAsuntos!G14/NºAsuntos!E14),NºAsuntos!G14/NºAsuntos!E14," - ")</f>
        <v>1.1330798479087452</v>
      </c>
      <c r="AM14" s="1171">
        <f>IF(ISNUMBER(((NºAsuntos!I14/NºAsuntos!G14)*11)/factor_trimestre),((NºAsuntos!I14/NºAsuntos!G14)*11)/factor_trimestre," - ")</f>
        <v>6.1912751677852356</v>
      </c>
      <c r="AN14" s="1172">
        <f>IF(ISNUMBER('Resol  Asuntos'!D14/NºAsuntos!G14),'Resol  Asuntos'!D14/NºAsuntos!G14," - ")</f>
        <v>0.24496644295302014</v>
      </c>
      <c r="AO14" s="1173">
        <f>IF(ISNUMBER((NºAsuntos!C14+NºAsuntos!E14)/NºAsuntos!G14),(NºAsuntos!C14+NºAsuntos!E14)/NºAsuntos!G14," - ")</f>
        <v>3.063758389261745</v>
      </c>
      <c r="AP14" s="1174" t="str">
        <f t="shared" si="2"/>
        <v xml:space="preserve"> - </v>
      </c>
      <c r="AQ14" s="1174">
        <f>IF(ISNUMBER((H14-W14+K14)/(F14)),(H14-W14+K14)/(F14)," - ")</f>
        <v>0</v>
      </c>
      <c r="AR14" s="1175">
        <f>IF(ISNUMBER((Datos!P14-Datos!Q14)/(Datos!R14-Datos!P14+Datos!Q14)),(Datos!P14-Datos!Q14)/(Datos!R14-Datos!P14+Datos!Q14)," - ")</f>
        <v>-3.3065236818588022E-2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478</v>
      </c>
      <c r="G17" s="373">
        <f>IF(ISNUMBER(IF(D_I="SI",Datos!I17,Datos!I17+Datos!AC17)),IF(D_I="SI",Datos!I17,Datos!I17+Datos!AC17)," - ")</f>
        <v>478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336</v>
      </c>
      <c r="X17" s="240">
        <f>IF(ISNUMBER(Datos!Q17),Datos!Q17," - ")</f>
        <v>0</v>
      </c>
      <c r="Y17" s="374">
        <f t="shared" ref="Y17:Y22" si="9">SUM(W17:X17)</f>
        <v>336</v>
      </c>
      <c r="Z17" s="375" t="str">
        <f>IF(ISNUMBER(Datos!CC17),Datos!CC17," - ")</f>
        <v xml:space="preserve"> - </v>
      </c>
      <c r="AA17" s="372">
        <f>IF(ISNUMBER(IF(D_I="SI",Datos!L17,Datos!L17+Datos!AF17)),IF(D_I="SI",Datos!L17,Datos!L17+Datos!AF17)," - ")</f>
        <v>529</v>
      </c>
      <c r="AB17" s="374">
        <f>IF(ISNUMBER(Datos!R17),Datos!R17," - ")</f>
        <v>70</v>
      </c>
      <c r="AC17" s="374">
        <f t="shared" si="8"/>
        <v>599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41</v>
      </c>
      <c r="AJ17" s="245" t="str">
        <f>IF(ISNUMBER(Datos!BW17),Datos!BW17," - ")</f>
        <v xml:space="preserve"> - </v>
      </c>
      <c r="AK17" s="246" t="str">
        <f>IF(ISNUMBER(Datos!BX17),Datos!BX17," - ")</f>
        <v xml:space="preserve"> - </v>
      </c>
      <c r="AL17" s="266">
        <f>IF(ISNUMBER(NºAsuntos!G17/NºAsuntos!E17),NºAsuntos!G17/NºAsuntos!E17," - ")</f>
        <v>0.86821705426356588</v>
      </c>
      <c r="AM17" s="284">
        <f>IF(ISNUMBER(((NºAsuntos!I17/NºAsuntos!G17)*11)/factor_trimestre),((NºAsuntos!I17/NºAsuntos!G17)*11)/factor_trimestre," - ")</f>
        <v>4.7232142857142856</v>
      </c>
      <c r="AN17" s="267">
        <f>IF(ISNUMBER('Resol  Asuntos'!D17/NºAsuntos!G17),'Resol  Asuntos'!D17/NºAsuntos!G17," - ")</f>
        <v>0.12202380952380952</v>
      </c>
      <c r="AO17" s="268">
        <f>IF(ISNUMBER((NºAsuntos!C17+NºAsuntos!E17)/NºAsuntos!G17),(NºAsuntos!C17+NºAsuntos!E17)/NºAsuntos!G17," - ")</f>
        <v>2.5744047619047619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29</v>
      </c>
      <c r="AB18" s="374">
        <f>IF(ISNUMBER(Datos!R18),Datos!R18," - ")</f>
        <v>0</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0.90322580645161288</v>
      </c>
      <c r="AM18" s="284">
        <f>IF(ISNUMBER(((NºAsuntos!I18/NºAsuntos!G18)*11)/factor_trimestre),((NºAsuntos!I18/NºAsuntos!G18)*11)/factor_trimestre," - ")</f>
        <v>3.1071428571428577</v>
      </c>
      <c r="AN18" s="267">
        <f>IF(ISNUMBER('Resol  Asuntos'!D18/NºAsuntos!G18),'Resol  Asuntos'!D18/NºAsuntos!G18," - ")</f>
        <v>3.5714285714285712E-2</v>
      </c>
      <c r="AO18" s="268">
        <f>IF(ISNUMBER((NºAsuntos!C18+NºAsuntos!E18)/NºAsuntos!G18),(NºAsuntos!C18+NºAsuntos!E18)/NºAsuntos!G18," - ")</f>
        <v>2.0357142857142856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478</v>
      </c>
      <c r="G23" s="1163">
        <f>SUBTOTAL(9,G16:G22)</f>
        <v>504</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364</v>
      </c>
      <c r="X23" s="1164">
        <f t="shared" si="14"/>
        <v>0</v>
      </c>
      <c r="Y23" s="1165">
        <f t="shared" si="14"/>
        <v>364</v>
      </c>
      <c r="Z23" s="1165">
        <f t="shared" si="14"/>
        <v>0</v>
      </c>
      <c r="AA23" s="1165">
        <f t="shared" si="14"/>
        <v>558</v>
      </c>
      <c r="AB23" s="1165">
        <f t="shared" si="14"/>
        <v>70</v>
      </c>
      <c r="AC23" s="1165">
        <f t="shared" si="14"/>
        <v>628</v>
      </c>
      <c r="AD23" s="1165">
        <f t="shared" si="14"/>
        <v>0</v>
      </c>
      <c r="AE23" s="1169">
        <f t="shared" si="14"/>
        <v>0</v>
      </c>
      <c r="AF23" s="1162">
        <f t="shared" si="14"/>
        <v>0</v>
      </c>
      <c r="AG23" s="1170">
        <f t="shared" si="14"/>
        <v>0</v>
      </c>
      <c r="AH23" s="1167">
        <f t="shared" si="14"/>
        <v>0</v>
      </c>
      <c r="AI23" s="1162">
        <f t="shared" si="14"/>
        <v>42</v>
      </c>
      <c r="AJ23" s="1164">
        <f t="shared" si="14"/>
        <v>0</v>
      </c>
      <c r="AK23" s="1167">
        <f t="shared" si="14"/>
        <v>0</v>
      </c>
      <c r="AL23" s="1171">
        <f>IF(ISNUMBER(NºAsuntos!G23/NºAsuntos!E23),NºAsuntos!G23/NºAsuntos!E23," - ")</f>
        <v>0.87081339712918659</v>
      </c>
      <c r="AM23" s="1171">
        <f>IF(ISNUMBER(((NºAsuntos!I23/NºAsuntos!G23)*11)/factor_trimestre),((NºAsuntos!I23/NºAsuntos!G23)*11)/factor_trimestre," - ")</f>
        <v>4.5989010989010994</v>
      </c>
      <c r="AN23" s="1172">
        <f>IF(ISNUMBER('Resol  Asuntos'!D23/NºAsuntos!G23),'Resol  Asuntos'!D23/NºAsuntos!G23," - ")</f>
        <v>0.11538461538461539</v>
      </c>
      <c r="AO23" s="1173">
        <f>IF(ISNUMBER((NºAsuntos!C23+NºAsuntos!E23)/NºAsuntos!G23),(NºAsuntos!C23+NºAsuntos!E23)/NºAsuntos!G23," - ")</f>
        <v>2.5329670329670328</v>
      </c>
      <c r="AP23" s="1174" t="str">
        <f t="shared" si="2"/>
        <v xml:space="preserve"> - </v>
      </c>
      <c r="AQ23" s="1174">
        <f>IF(ISNUMBER((H23-W23+K23)/(F23)),(H23-W23+K23)/(F23)," - ")</f>
        <v>-0.7615062761506276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481</v>
      </c>
      <c r="G31" s="1118">
        <f t="shared" si="20"/>
        <v>507</v>
      </c>
      <c r="H31" s="1117">
        <f t="shared" si="20"/>
        <v>0</v>
      </c>
      <c r="I31" s="1119">
        <f t="shared" si="20"/>
        <v>0</v>
      </c>
      <c r="J31" s="1119">
        <f t="shared" si="20"/>
        <v>0</v>
      </c>
      <c r="K31" s="1180">
        <f t="shared" si="20"/>
        <v>0</v>
      </c>
      <c r="L31" s="1119">
        <f t="shared" si="20"/>
        <v>108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364</v>
      </c>
      <c r="X31" s="1118">
        <f t="shared" si="21"/>
        <v>145</v>
      </c>
      <c r="Y31" s="1125">
        <f t="shared" si="21"/>
        <v>509</v>
      </c>
      <c r="Z31" s="1125">
        <f t="shared" si="21"/>
        <v>0</v>
      </c>
      <c r="AA31" s="1125">
        <f t="shared" si="21"/>
        <v>562</v>
      </c>
      <c r="AB31" s="1125">
        <f t="shared" si="21"/>
        <v>1152</v>
      </c>
      <c r="AC31" s="1125">
        <f t="shared" si="21"/>
        <v>632</v>
      </c>
      <c r="AD31" s="1125">
        <f t="shared" si="21"/>
        <v>0</v>
      </c>
      <c r="AE31" s="1127">
        <f t="shared" si="21"/>
        <v>0</v>
      </c>
      <c r="AF31" s="1128">
        <f t="shared" si="21"/>
        <v>0</v>
      </c>
      <c r="AG31" s="1129">
        <f t="shared" si="21"/>
        <v>0</v>
      </c>
      <c r="AH31" s="1127">
        <f t="shared" si="21"/>
        <v>0</v>
      </c>
      <c r="AI31" s="1117">
        <f t="shared" si="21"/>
        <v>115</v>
      </c>
      <c r="AJ31" s="1117">
        <f t="shared" si="21"/>
        <v>0</v>
      </c>
      <c r="AK31" s="1127">
        <f t="shared" si="21"/>
        <v>0</v>
      </c>
      <c r="AL31" s="1183">
        <f>IF(ISNUMBER(NºAsuntos!G31/NºAsuntos!E31),NºAsuntos!G31/NºAsuntos!E31," - ")</f>
        <v>0.97209985315712188</v>
      </c>
      <c r="AM31" s="1184">
        <f>IF(ISNUMBER(((NºAsuntos!I31/NºAsuntos!G31)*11)/factor_trimestre),((NºAsuntos!I31/NºAsuntos!G31)*11)/factor_trimestre," - ")</f>
        <v>5.3157099697885197</v>
      </c>
      <c r="AN31" s="1184">
        <f>IF(ISNUMBER('Resol  Asuntos'!D31/NºAsuntos!G31),'Resol  Asuntos'!D31/NºAsuntos!G31," - ")</f>
        <v>0.17371601208459214</v>
      </c>
      <c r="AO31" s="1185">
        <f>IF(ISNUMBER((NºAsuntos!C31+NºAsuntos!E31)/NºAsuntos!G31),(NºAsuntos!C31+NºAsuntos!E31)/NºAsuntos!G31," - ")</f>
        <v>2.7719033232628401</v>
      </c>
      <c r="AP31" s="1186" t="str">
        <f t="shared" si="2"/>
        <v xml:space="preserve"> - </v>
      </c>
      <c r="AQ31" s="1187">
        <f>IF(OR(ISNUMBER(FIND("01",Criterios!A8,1)),ISNUMBER(FIND("02",Criterios!A8,1)),ISNUMBER(FIND("03",Criterios!A8,1)),ISNUMBER(FIND("04",Criterios!A8,1))),(I31-W31+K31)/(F31-K31),(H31-W31+K31)/(F31-K31))</f>
        <v>-0.7567567567567568</v>
      </c>
      <c r="AR31" s="1188">
        <f>IF(ISNUMBER((Datos!P31-Datos!Q31)/(Datos!R31-Datos!P31+Datos!Q31)),(Datos!P31-Datos!Q31)/(Datos!R31-Datos!P31+Datos!Q31)," - ")</f>
        <v>-3.1118587047939444E-2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246.06719949368846</v>
      </c>
      <c r="G33" s="277">
        <f>IF(ISNUMBER(STDEV(G8:G30)),STDEV(G8:G30),"-")</f>
        <v>236.751929644673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168.55464000337298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32.71412975633443</v>
      </c>
      <c r="AJ33" s="276">
        <f t="shared" si="25"/>
        <v>0</v>
      </c>
      <c r="AK33" s="278">
        <f t="shared" si="25"/>
        <v>0</v>
      </c>
      <c r="AL33" s="273">
        <f t="shared" si="25"/>
        <v>0.42023548070991246</v>
      </c>
      <c r="AM33" s="274">
        <f t="shared" si="25"/>
        <v>1.2800305675241805</v>
      </c>
      <c r="AN33" s="274">
        <f t="shared" si="25"/>
        <v>9.089180027590657E-2</v>
      </c>
      <c r="AO33" s="275">
        <f t="shared" si="25"/>
        <v>0.42667685584139003</v>
      </c>
      <c r="AP33" s="317" t="str">
        <f t="shared" si="25"/>
        <v>-</v>
      </c>
      <c r="AQ33" s="318">
        <f t="shared" si="25"/>
        <v>0.53846625178222451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HoRUiuFsKCk47zYIO6Xr3ncHyloQ3OyT/mO+bDXh8l5iOjU9B9YHh+0liyKOeTEr/4Pav07C41s4qqnJwAvg==" saltValue="tmJnZO0keNBzgp4zcGxH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ARACENA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t="str">
        <f>IF(ISNUMBER((Datos!J10-Datos!T10)/Datos!T10),(Datos!J10-Datos!T10)/Datos!T10," - ")</f>
        <v xml:space="preserve"> - </v>
      </c>
      <c r="F10" s="393">
        <f>IF(ISNUMBER((Datos!K10-Datos!U10)/Datos!U10),(Datos!K10-Datos!U10)/Datos!U10," - ")</f>
        <v>-1</v>
      </c>
      <c r="G10" s="394">
        <f>IF(ISNUMBER((Datos!L10-Datos!V10)/Datos!V10),(Datos!L10-Datos!V10)/Datos!V10," - ")</f>
        <v>0.33333333333333331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-0.15116279069767441</v>
      </c>
      <c r="I12" s="395">
        <f>IF(ISNUMBER((Tasas!C12-Datos!BE12)/Datos!BE12),(Tasas!C12-Datos!BE12)/Datos!BE12," - ")</f>
        <v>0.10361070283862503</v>
      </c>
      <c r="J12" s="394">
        <f>IF(ISNUMBER((Tasas!D12-Datos!BF12)/Datos!BF12),(Tasas!D12-Datos!BF12)/Datos!BF12," - ")</f>
        <v>-0.32009313792631144</v>
      </c>
      <c r="K12" s="396">
        <f>IF(ISNUMBER((Tasas!E12-Datos!BG12)/Datos!BG12),(Tasas!E12-Datos!BG12)/Datos!BG12," - ")</f>
        <v>6.7355842840203919E-2</v>
      </c>
      <c r="M12" t="e">
        <f>IF(Monitorios="SI",Datos!CE12,0)</f>
        <v>#REF!</v>
      </c>
      <c r="N12" t="e">
        <f>IF(Monitorios="SI",Datos!CF12,0)</f>
        <v>#REF!</v>
      </c>
      <c r="O12" t="e">
        <f>IF(Monitorios="SI",Datos!CG12,0)</f>
        <v>#REF!</v>
      </c>
      <c r="P12" t="e">
        <f>IF(Monitorios="SI",Datos!CH12,0)</f>
        <v>#REF!</v>
      </c>
      <c r="Q12">
        <f>IF(J_V="SI",0,Datos!AG12)</f>
        <v>19</v>
      </c>
      <c r="R12">
        <f>IF(J_V="SI",0,Datos!AH12)</f>
        <v>31</v>
      </c>
      <c r="S12">
        <f>IF(J_V="SI",0,Datos!AI12)</f>
        <v>35</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-0.15116279069767441</v>
      </c>
      <c r="I14" s="402">
        <f>IF(ISNUMBER((Tasas!C14-Datos!BE14)/Datos!BE14),(Tasas!C14-Datos!BE14)/Datos!BE14," - ")</f>
        <v>0.10916843785552396</v>
      </c>
      <c r="J14" s="400">
        <f>IF(ISNUMBER((Tasas!D14-Datos!BF14)/Datos!BF14),(Tasas!D14-Datos!BF14)/Datos!BF14," - ")</f>
        <v>-0.31842669953887592</v>
      </c>
      <c r="K14" s="403">
        <f>IF(ISNUMBER((Tasas!E14-Datos!BG14)/Datos!BG14),(Tasas!E14-Datos!BG14)/Datos!BG14," - ")</f>
        <v>7.1006137784661319E-2</v>
      </c>
      <c r="M14" t="e">
        <f>IF(Monitorios="SI",Datos!CE14,0)</f>
        <v>#REF!</v>
      </c>
      <c r="N14" t="e">
        <f>IF(Monitorios="SI",Datos!CF14,0)</f>
        <v>#REF!</v>
      </c>
      <c r="O14" t="e">
        <f>IF(Monitorios="SI",Datos!CG14,0)</f>
        <v>#REF!</v>
      </c>
      <c r="P14" t="e">
        <f>IF(Monitorios="SI",Datos!CH14,0)</f>
        <v>#REF!</v>
      </c>
      <c r="Q14">
        <f>IF(J_V="SI",0,Datos!AG14)</f>
        <v>19</v>
      </c>
      <c r="R14">
        <f>IF(J_V="SI",0,Datos!AH14)</f>
        <v>31</v>
      </c>
      <c r="S14">
        <f>IF(J_V="SI",0,Datos!AI14)</f>
        <v>35</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7.6576576576576572E-2</v>
      </c>
      <c r="E17" s="393">
        <f>IF(ISNUMBER(
   IF(D_I="SI",(Datos!J17-Datos!T17)/Datos!T17,(Datos!J17+Datos!AD17-(Datos!T17+Datos!AL17))/(Datos!T17+Datos!AL17))
     ),IF(D_I="SI",(Datos!J17-Datos!T17)/Datos!T17,(Datos!J17+Datos!AD17-(Datos!T17+Datos!AL17))/(Datos!T17+Datos!AL17))," - ")</f>
        <v>4.0322580645161289E-2</v>
      </c>
      <c r="F17" s="393">
        <f>IF(ISNUMBER(
   IF(D_I="SI",(Datos!K17-Datos!U17)/Datos!U17,(Datos!K17+Datos!AE17-(Datos!U17+Datos!AM17))/(Datos!U17+Datos!AM17))
     ),IF(D_I="SI",(Datos!K17-Datos!U17)/Datos!U17,(Datos!K17+Datos!AE17-(Datos!U17+Datos!AM17))/(Datos!U17+Datos!AM17))," - ")</f>
        <v>0.05</v>
      </c>
      <c r="G17" s="394">
        <f>IF(ISNUMBER(
   IF(D_I="SI",(Datos!L17-Datos!V17)/Datos!V17,(Datos!L17+Datos!AF17-(Datos!V17+Datos!AN17))/(Datos!V17+Datos!AN17))
     ),IF(D_I="SI",(Datos!L17-Datos!V17)/Datos!V17,(Datos!L17+Datos!AF17-(Datos!V17+Datos!AN17))/(Datos!V17+Datos!AN17))," - ")</f>
        <v>6.6532258064516125E-2</v>
      </c>
      <c r="H17" s="244">
        <f>IF(ISNUMBER((Datos!M17-Datos!W17)/Datos!W17),(Datos!M17-Datos!W17)/Datos!W17," - ")</f>
        <v>-0.34920634920634919</v>
      </c>
      <c r="I17" s="395">
        <f>IF(ISNUMBER((Tasas!C17-Datos!BE17)/Datos!BE17),(Tasas!C17-Datos!BE17)/Datos!BE17," - ")</f>
        <v>1.5745007680491495E-2</v>
      </c>
      <c r="J17" s="394">
        <f>IF(ISNUMBER((Tasas!D17-Datos!BF17)/Datos!BF17),(Tasas!D17-Datos!BF17)/Datos!BF17," - ")</f>
        <v>-0.38019652305366591</v>
      </c>
      <c r="K17" s="396">
        <f>IF(ISNUMBER((Tasas!E17-Datos!BG17)/Datos!BG17),(Tasas!E17-Datos!BG17)/Datos!BG17," - ")</f>
        <v>9.5704948646125661E-3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0.52941176470588236</v>
      </c>
      <c r="E18" s="393">
        <f>IF(ISNUMBER(
   IF(D_I="SI",(Datos!J18-Datos!T18)/Datos!T18,(Datos!J18+Datos!AD18-(Datos!T18+Datos!AL18))/(Datos!T18+Datos!AL18))
     ),IF(D_I="SI",(Datos!J18-Datos!T18)/Datos!T18,(Datos!J18+Datos!AD18-(Datos!T18+Datos!AL18))/(Datos!T18+Datos!AL18))," - ")</f>
        <v>0.14814814814814814</v>
      </c>
      <c r="F18" s="393">
        <f>IF(ISNUMBER(
   IF(D_I="SI",(Datos!K18-Datos!U18)/Datos!U18,(Datos!K18+Datos!AE18-(Datos!U18+Datos!AM18))/(Datos!U18+Datos!AM18))
     ),IF(D_I="SI",(Datos!K18-Datos!U18)/Datos!U18,(Datos!K18+Datos!AE18-(Datos!U18+Datos!AM18))/(Datos!U18+Datos!AM18))," - ")</f>
        <v>-0.15151515151515152</v>
      </c>
      <c r="G18" s="394">
        <f>IF(ISNUMBER(
   IF(D_I="SI",(Datos!L18-Datos!V18)/Datos!V18,(Datos!L18+Datos!AF18-(Datos!V18+Datos!AN18))/(Datos!V18+Datos!AN18))
     ),IF(D_I="SI",(Datos!L18-Datos!V18)/Datos!V18,(Datos!L18+Datos!AF18-(Datos!V18+Datos!AN18))/(Datos!V18+Datos!AN18))," - ")</f>
        <v>1.6363636363636365</v>
      </c>
      <c r="H18" s="244" t="str">
        <f>IF(ISNUMBER((Datos!M18-Datos!W18)/Datos!W18),(Datos!M18-Datos!W18)/Datos!W18," - ")</f>
        <v xml:space="preserve"> - </v>
      </c>
      <c r="I18" s="395">
        <f>IF(ISNUMBER((Tasas!C18-Datos!BE18)/Datos!BE18),(Tasas!C18-Datos!BE18)/Datos!BE18," - ")</f>
        <v>2.1071428571428577</v>
      </c>
      <c r="J18" s="394" t="str">
        <f>IF(ISNUMBER((Tasas!D18-Datos!BF18)/Datos!BF18),(Tasas!D18-Datos!BF18)/Datos!BF18," - ")</f>
        <v xml:space="preserve"> - </v>
      </c>
      <c r="K18" s="396">
        <f>IF(ISNUMBER((Tasas!E18-Datos!BG18)/Datos!BG18),(Tasas!E18-Datos!BG18)/Datos!BG18," - ")</f>
        <v>0.5267857142857143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9.3275488069414311E-2</v>
      </c>
      <c r="E23" s="399">
        <f>IF(ISNUMBER(
   IF(D_I="SI",(Datos!J23-Datos!T23)/Datos!T23,(Datos!J23+Datos!AD23-(Datos!T23+Datos!AL23))/(Datos!T23+Datos!AL23))
     ),IF(D_I="SI",(Datos!J23-Datos!T23)/Datos!T23,(Datos!J23+Datos!AD23-(Datos!T23+Datos!AL23))/(Datos!T23+Datos!AL23))," - ")</f>
        <v>4.7619047619047616E-2</v>
      </c>
      <c r="F23" s="399">
        <f>IF(ISNUMBER(
   IF(D_I="SI",(Datos!K23-Datos!U23)/Datos!U23,(Datos!K23+Datos!AE23-(Datos!U23+Datos!AM23))/(Datos!U23+Datos!AM23))
     ),IF(D_I="SI",(Datos!K23-Datos!U23)/Datos!U23,(Datos!K23+Datos!AE23-(Datos!U23+Datos!AM23))/(Datos!U23+Datos!AM23))," - ")</f>
        <v>3.1161473087818695E-2</v>
      </c>
      <c r="G23" s="400">
        <f>IF(ISNUMBER(
   IF(D_I="SI",(Datos!L23-Datos!V23)/Datos!V23,(Datos!L23+Datos!AF23-(Datos!V23+Datos!AN23))/(Datos!V23+Datos!AN23))
     ),IF(D_I="SI",(Datos!L23-Datos!V23)/Datos!V23,(Datos!L23+Datos!AF23-(Datos!V23+Datos!AN23))/(Datos!V23+Datos!AN23))," - ")</f>
        <v>0.10059171597633136</v>
      </c>
      <c r="H23" s="401">
        <f>IF(ISNUMBER((Datos!M23-Datos!W23)/Datos!W23),(Datos!M23-Datos!W23)/Datos!W23," - ")</f>
        <v>-0.33333333333333331</v>
      </c>
      <c r="I23" s="402">
        <f>IF(ISNUMBER((Tasas!C23-Datos!BE23)/Datos!BE23),(Tasas!C23-Datos!BE23)/Datos!BE23," - ")</f>
        <v>6.7332076207815977E-2</v>
      </c>
      <c r="J23" s="400">
        <f>IF(ISNUMBER((Tasas!D23-Datos!BF23)/Datos!BF23),(Tasas!D23-Datos!BF23)/Datos!BF23," - ")</f>
        <v>-0.35347985347985339</v>
      </c>
      <c r="K23" s="403">
        <f>IF(ISNUMBER((Tasas!E23-Datos!BG23)/Datos!BG23),(Tasas!E23-Datos!BG23)/Datos!BG23," - ")</f>
        <v>3.9694607717863511E-2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-0.10888030888030888</v>
      </c>
      <c r="E31" s="409">
        <f>IF(ISNUMBER(
   IF(J_V="SI",(Datos!J31-Datos!T31)/Datos!T31,(Datos!J31+Datos!Z31-(Datos!T31+Datos!AH31))/(Datos!T31+Datos!AH31))
     ),IF(J_V="SI",(Datos!J31-Datos!T31)/Datos!T31,(Datos!J31+Datos!Z31-(Datos!T31+Datos!AH31))/(Datos!T31+Datos!AH31))," - ")</f>
        <v>-7.3469387755102047E-2</v>
      </c>
      <c r="F31" s="409">
        <f>IF(ISNUMBER(
   IF(J_V="SI",(Datos!K31-Datos!U31)/Datos!U31,(Datos!K31+Datos!AA31-(Datos!U31+Datos!AI31))/(Datos!U31+Datos!AI31))
     ),IF(J_V="SI",(Datos!K31-Datos!U31)/Datos!U31,(Datos!K31+Datos!AA31-(Datos!U31+Datos!AI31))/(Datos!U31+Datos!AI31))," - ")</f>
        <v>-0.13123359580052493</v>
      </c>
      <c r="G31" s="410">
        <f>IF(ISNUMBER(
   IF(J_V="SI",(Datos!L31-Datos!V31)/Datos!V31,(Datos!L31+Datos!AB31-(Datos!V31+Datos!AJ31))/(Datos!V31+Datos!AJ31))
     ),IF(J_V="SI",(Datos!L31-Datos!V31)/Datos!V31,(Datos!L31+Datos!AB31-(Datos!V31+Datos!AJ31))/(Datos!V31+Datos!AJ31))," - ")</f>
        <v>-7.4921135646687703E-2</v>
      </c>
      <c r="H31" s="411">
        <f>IF(ISNUMBER((Datos!M31-Datos!W31)/Datos!W31),(Datos!M31-Datos!W31)/Datos!W31," - ")</f>
        <v>-0.22818791946308725</v>
      </c>
      <c r="I31" s="408">
        <f>IF(ISNUMBER((Tasas!C31-Datos!BE31)/Datos!BE31),(Tasas!C31-Datos!BE31)/Datos!BE31," - ")</f>
        <v>6.4818874074356422E-2</v>
      </c>
      <c r="J31" s="409">
        <f>IF(ISNUMBER((Tasas!D31-Datos!BF31)/Datos!BF31),(Tasas!D31-Datos!BF31)/Datos!BF31," - ")</f>
        <v>-0.36965904186447995</v>
      </c>
      <c r="K31" s="410">
        <f>IF(ISNUMBER((Tasas!E31-Datos!BG31)/Datos!BG31),(Tasas!E31-Datos!BG31)/Datos!BG31," - ")</f>
        <v>4.0487848436593164E-2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0.31983412798553096</v>
      </c>
      <c r="E33" s="303">
        <f t="shared" si="1"/>
        <v>6.0257352927301451E-2</v>
      </c>
      <c r="F33" s="303">
        <f t="shared" si="1"/>
        <v>0.49666005453526985</v>
      </c>
      <c r="G33" s="304">
        <f t="shared" si="1"/>
        <v>0.74427623899808792</v>
      </c>
      <c r="H33" s="310">
        <f t="shared" si="1"/>
        <v>0.1099494838455384</v>
      </c>
      <c r="I33" s="302">
        <f t="shared" si="1"/>
        <v>0.91002809604614243</v>
      </c>
      <c r="J33" s="303">
        <f t="shared" si="1"/>
        <v>2.9563324445859403E-2</v>
      </c>
      <c r="K33" s="304">
        <f t="shared" si="1"/>
        <v>0.21602777434439807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GyBuZXc83WeXM8gRYWHBgpG+F0RkR6qRXhcQIJtgSCEAihfFp155evhwzbbUkoYMxYpS5O0LjB4+HUWtnZD9g==" saltValue="m38pJ71FDbi/T247lWNq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